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PhD\Manuscripts\Isotopes\"/>
    </mc:Choice>
  </mc:AlternateContent>
  <xr:revisionPtr revIDLastSave="0" documentId="13_ncr:1_{84B20A29-CA67-4C76-A083-359502237DC0}" xr6:coauthVersionLast="44" xr6:coauthVersionMax="47" xr10:uidLastSave="{00000000-0000-0000-0000-000000000000}"/>
  <bookViews>
    <workbookView xWindow="-120" yWindow="-120" windowWidth="29040" windowHeight="15840" xr2:uid="{587778B9-5C44-4C74-81DE-0071658FA529}"/>
  </bookViews>
  <sheets>
    <sheet name="SrNdHf-ThisStudy&amp;Literature" sheetId="4" r:id="rId1"/>
    <sheet name="Standard Analyses" sheetId="5" r:id="rId2"/>
    <sheet name="Ol-Spl Thermometry" sheetId="6" r:id="rId3"/>
  </sheets>
  <definedNames>
    <definedName name="_xlnm._FilterDatabase" localSheetId="0" hidden="1">'SrNdHf-ThisStudy&amp;Literature'!$B$2:$AG$54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5" l="1"/>
  <c r="D20" i="5"/>
  <c r="D18" i="5"/>
  <c r="D16" i="5"/>
  <c r="D15" i="5"/>
  <c r="D14" i="5"/>
  <c r="D13" i="5"/>
  <c r="D12" i="5"/>
  <c r="D10" i="5"/>
  <c r="D8" i="5"/>
  <c r="D7" i="5"/>
  <c r="D6" i="5"/>
  <c r="D5" i="5"/>
  <c r="D4" i="5"/>
  <c r="D3" i="5"/>
  <c r="K8" i="6" l="1"/>
  <c r="I8" i="6"/>
  <c r="K7" i="6"/>
  <c r="I7" i="6"/>
  <c r="K6" i="6"/>
  <c r="I6" i="6"/>
  <c r="K5" i="6"/>
  <c r="I5" i="6"/>
  <c r="K4" i="6"/>
  <c r="I4" i="6"/>
  <c r="K3" i="6"/>
  <c r="I3" i="6"/>
  <c r="K2" i="6"/>
  <c r="I2" i="6"/>
  <c r="R23" i="4"/>
  <c r="V23" i="4" s="1"/>
  <c r="J23" i="4"/>
  <c r="O23" i="4" s="1"/>
  <c r="R22" i="4"/>
  <c r="W22" i="4" s="1"/>
  <c r="J22" i="4"/>
  <c r="N22" i="4" s="1"/>
  <c r="AA21" i="4"/>
  <c r="AD21" i="4" s="1"/>
  <c r="J21" i="4"/>
  <c r="O21" i="4" s="1"/>
  <c r="AA20" i="4"/>
  <c r="AD20" i="4" s="1"/>
  <c r="J20" i="4"/>
  <c r="N20" i="4" s="1"/>
  <c r="R19" i="4"/>
  <c r="W19" i="4" s="1"/>
  <c r="J19" i="4"/>
  <c r="N19" i="4" s="1"/>
  <c r="AA18" i="4"/>
  <c r="AD18" i="4" s="1"/>
  <c r="J18" i="4"/>
  <c r="O18" i="4" s="1"/>
  <c r="AA17" i="4"/>
  <c r="AD17" i="4" s="1"/>
  <c r="J17" i="4"/>
  <c r="N17" i="4" s="1"/>
  <c r="R16" i="4"/>
  <c r="W16" i="4" s="1"/>
  <c r="J16" i="4"/>
  <c r="N16" i="4" s="1"/>
  <c r="AA15" i="4"/>
  <c r="AD15" i="4" s="1"/>
  <c r="J15" i="4"/>
  <c r="O15" i="4" s="1"/>
  <c r="R14" i="4"/>
  <c r="V14" i="4" s="1"/>
  <c r="J14" i="4"/>
  <c r="O14" i="4" s="1"/>
  <c r="AA13" i="4"/>
  <c r="AD13" i="4" s="1"/>
  <c r="J13" i="4"/>
  <c r="N13" i="4" s="1"/>
  <c r="AA12" i="4"/>
  <c r="AD12" i="4" s="1"/>
  <c r="J12" i="4"/>
  <c r="O12" i="4" s="1"/>
  <c r="R11" i="4"/>
  <c r="V11" i="4" s="1"/>
  <c r="J11" i="4"/>
  <c r="O11" i="4" s="1"/>
  <c r="R10" i="4"/>
  <c r="V10" i="4" s="1"/>
  <c r="J10" i="4"/>
  <c r="O10" i="4" s="1"/>
  <c r="AA9" i="4"/>
  <c r="AD9" i="4" s="1"/>
  <c r="J9" i="4"/>
  <c r="N9" i="4" s="1"/>
  <c r="AA8" i="4"/>
  <c r="AD8" i="4" s="1"/>
  <c r="J8" i="4"/>
  <c r="O8" i="4" s="1"/>
  <c r="AA7" i="4"/>
  <c r="AD7" i="4" s="1"/>
  <c r="J7" i="4"/>
  <c r="N7" i="4" s="1"/>
  <c r="AA29" i="4"/>
  <c r="AD29" i="4" s="1"/>
  <c r="J29" i="4"/>
  <c r="O29" i="4" s="1"/>
  <c r="AA28" i="4"/>
  <c r="AD28" i="4" s="1"/>
  <c r="J28" i="4"/>
  <c r="N28" i="4" s="1"/>
  <c r="R27" i="4"/>
  <c r="W27" i="4" s="1"/>
  <c r="J27" i="4"/>
  <c r="N27" i="4" s="1"/>
  <c r="R26" i="4"/>
  <c r="V26" i="4" s="1"/>
  <c r="J26" i="4"/>
  <c r="N26" i="4" s="1"/>
  <c r="R25" i="4"/>
  <c r="W25" i="4" s="1"/>
  <c r="J25" i="4"/>
  <c r="N25" i="4" s="1"/>
  <c r="AA24" i="4"/>
  <c r="AD24" i="4" s="1"/>
  <c r="J24" i="4"/>
  <c r="O24" i="4" s="1"/>
  <c r="AA6" i="4"/>
  <c r="AD6" i="4" s="1"/>
  <c r="J6" i="4"/>
  <c r="N6" i="4" s="1"/>
  <c r="AA5" i="4"/>
  <c r="AD5" i="4" s="1"/>
  <c r="J5" i="4"/>
  <c r="O5" i="4" s="1"/>
  <c r="R4" i="4"/>
  <c r="W4" i="4" s="1"/>
  <c r="J4" i="4"/>
  <c r="O4" i="4" s="1"/>
  <c r="R3" i="4"/>
  <c r="V3" i="4" s="1"/>
  <c r="J3" i="4"/>
  <c r="N3" i="4" s="1"/>
  <c r="AA54" i="4"/>
  <c r="AD54" i="4" s="1"/>
  <c r="J54" i="4"/>
  <c r="N54" i="4" s="1"/>
  <c r="AA53" i="4"/>
  <c r="AD53" i="4" s="1"/>
  <c r="J53" i="4"/>
  <c r="O53" i="4" s="1"/>
  <c r="AA52" i="4"/>
  <c r="AD52" i="4" s="1"/>
  <c r="J52" i="4"/>
  <c r="N52" i="4" s="1"/>
  <c r="AA51" i="4"/>
  <c r="AD51" i="4" s="1"/>
  <c r="AA50" i="4"/>
  <c r="AD50" i="4" s="1"/>
  <c r="AA49" i="4"/>
  <c r="AD49" i="4" s="1"/>
  <c r="J49" i="4"/>
  <c r="O49" i="4" s="1"/>
  <c r="AA48" i="4"/>
  <c r="AD48" i="4" s="1"/>
  <c r="J48" i="4"/>
  <c r="N48" i="4" s="1"/>
  <c r="AA47" i="4"/>
  <c r="AD47" i="4" s="1"/>
  <c r="AA46" i="4"/>
  <c r="AD46" i="4" s="1"/>
  <c r="J46" i="4"/>
  <c r="O46" i="4" s="1"/>
  <c r="R43" i="4"/>
  <c r="V43" i="4" s="1"/>
  <c r="J43" i="4"/>
  <c r="O43" i="4" s="1"/>
  <c r="R45" i="4"/>
  <c r="V45" i="4" s="1"/>
  <c r="J45" i="4"/>
  <c r="O45" i="4" s="1"/>
  <c r="R44" i="4"/>
  <c r="V44" i="4" s="1"/>
  <c r="J44" i="4"/>
  <c r="O44" i="4" s="1"/>
  <c r="R39" i="4"/>
  <c r="V39" i="4" s="1"/>
  <c r="J39" i="4"/>
  <c r="N39" i="4" s="1"/>
  <c r="R38" i="4"/>
  <c r="V38" i="4" s="1"/>
  <c r="J38" i="4"/>
  <c r="O38" i="4" s="1"/>
  <c r="AA37" i="4"/>
  <c r="AD37" i="4" s="1"/>
  <c r="R37" i="4"/>
  <c r="W37" i="4" s="1"/>
  <c r="J37" i="4"/>
  <c r="O37" i="4" s="1"/>
  <c r="AA36" i="4"/>
  <c r="AD36" i="4" s="1"/>
  <c r="R36" i="4"/>
  <c r="W36" i="4" s="1"/>
  <c r="J36" i="4"/>
  <c r="O36" i="4" s="1"/>
  <c r="R35" i="4"/>
  <c r="W35" i="4" s="1"/>
  <c r="J35" i="4"/>
  <c r="N35" i="4" s="1"/>
  <c r="R34" i="4"/>
  <c r="V34" i="4" s="1"/>
  <c r="J34" i="4"/>
  <c r="O34" i="4" s="1"/>
  <c r="AA33" i="4"/>
  <c r="AD33" i="4" s="1"/>
  <c r="R33" i="4"/>
  <c r="V33" i="4" s="1"/>
  <c r="J33" i="4"/>
  <c r="O33" i="4" s="1"/>
  <c r="AA32" i="4"/>
  <c r="AD32" i="4" s="1"/>
  <c r="R32" i="4"/>
  <c r="V32" i="4" s="1"/>
  <c r="J32" i="4"/>
  <c r="O32" i="4" s="1"/>
  <c r="AA31" i="4"/>
  <c r="AD31" i="4" s="1"/>
  <c r="R31" i="4"/>
  <c r="V31" i="4" s="1"/>
  <c r="J31" i="4"/>
  <c r="O31" i="4" s="1"/>
  <c r="AA30" i="4"/>
  <c r="AD30" i="4" s="1"/>
  <c r="R30" i="4"/>
  <c r="V30" i="4" s="1"/>
  <c r="J30" i="4"/>
  <c r="O30" i="4" s="1"/>
  <c r="AA42" i="4"/>
  <c r="AD42" i="4" s="1"/>
  <c r="J42" i="4"/>
  <c r="O42" i="4" s="1"/>
  <c r="AA41" i="4"/>
  <c r="AD41" i="4" s="1"/>
  <c r="R41" i="4"/>
  <c r="V41" i="4" s="1"/>
  <c r="J41" i="4"/>
  <c r="O41" i="4" s="1"/>
  <c r="R40" i="4"/>
  <c r="W40" i="4" s="1"/>
  <c r="J40" i="4"/>
  <c r="O40" i="4" s="1"/>
  <c r="X37" i="4" l="1"/>
  <c r="X36" i="4"/>
  <c r="X4" i="4"/>
  <c r="X40" i="4"/>
  <c r="P42" i="4"/>
  <c r="W41" i="4"/>
  <c r="X41" i="4" s="1"/>
  <c r="O35" i="4"/>
  <c r="X35" i="4" s="1"/>
  <c r="N14" i="4"/>
  <c r="O39" i="4"/>
  <c r="O3" i="4"/>
  <c r="W26" i="4"/>
  <c r="N11" i="4"/>
  <c r="V35" i="4"/>
  <c r="W39" i="4"/>
  <c r="N45" i="4"/>
  <c r="O48" i="4"/>
  <c r="O54" i="4"/>
  <c r="N40" i="4"/>
  <c r="W3" i="4"/>
  <c r="N5" i="4"/>
  <c r="O27" i="4"/>
  <c r="X27" i="4" s="1"/>
  <c r="O7" i="4"/>
  <c r="W45" i="4"/>
  <c r="X45" i="4" s="1"/>
  <c r="N46" i="4"/>
  <c r="N49" i="4"/>
  <c r="N8" i="4"/>
  <c r="W11" i="4"/>
  <c r="X11" i="4" s="1"/>
  <c r="O13" i="4"/>
  <c r="O25" i="4"/>
  <c r="X25" i="4" s="1"/>
  <c r="W14" i="4"/>
  <c r="X14" i="4" s="1"/>
  <c r="O16" i="4"/>
  <c r="X16" i="4" s="1"/>
  <c r="O19" i="4"/>
  <c r="X19" i="4" s="1"/>
  <c r="O22" i="4"/>
  <c r="X22" i="4" s="1"/>
  <c r="N41" i="4"/>
  <c r="V36" i="4"/>
  <c r="V37" i="4"/>
  <c r="V4" i="4"/>
  <c r="V40" i="4"/>
  <c r="N42" i="4"/>
  <c r="N30" i="4"/>
  <c r="W30" i="4"/>
  <c r="X30" i="4" s="1"/>
  <c r="N31" i="4"/>
  <c r="W31" i="4"/>
  <c r="X31" i="4" s="1"/>
  <c r="N32" i="4"/>
  <c r="W32" i="4"/>
  <c r="X32" i="4" s="1"/>
  <c r="N33" i="4"/>
  <c r="W33" i="4"/>
  <c r="X33" i="4" s="1"/>
  <c r="N34" i="4"/>
  <c r="W34" i="4"/>
  <c r="X34" i="4" s="1"/>
  <c r="N36" i="4"/>
  <c r="N37" i="4"/>
  <c r="N38" i="4"/>
  <c r="W38" i="4"/>
  <c r="X38" i="4" s="1"/>
  <c r="N44" i="4"/>
  <c r="W44" i="4"/>
  <c r="X44" i="4" s="1"/>
  <c r="N43" i="4"/>
  <c r="W43" i="4"/>
  <c r="X43" i="4" s="1"/>
  <c r="O52" i="4"/>
  <c r="N53" i="4"/>
  <c r="N4" i="4"/>
  <c r="O6" i="4"/>
  <c r="N24" i="4"/>
  <c r="V25" i="4"/>
  <c r="O26" i="4"/>
  <c r="V27" i="4"/>
  <c r="O28" i="4"/>
  <c r="N29" i="4"/>
  <c r="O9" i="4"/>
  <c r="N10" i="4"/>
  <c r="W10" i="4"/>
  <c r="X10" i="4" s="1"/>
  <c r="N12" i="4"/>
  <c r="N15" i="4"/>
  <c r="V16" i="4"/>
  <c r="O17" i="4"/>
  <c r="N18" i="4"/>
  <c r="V19" i="4"/>
  <c r="O20" i="4"/>
  <c r="N21" i="4"/>
  <c r="V22" i="4"/>
  <c r="N23" i="4"/>
  <c r="W23" i="4"/>
  <c r="X23" i="4" s="1"/>
  <c r="Q42" i="4"/>
  <c r="X3" i="4" l="1"/>
  <c r="X26" i="4"/>
  <c r="X39" i="4"/>
</calcChain>
</file>

<file path=xl/sharedStrings.xml><?xml version="1.0" encoding="utf-8"?>
<sst xmlns="http://schemas.openxmlformats.org/spreadsheetml/2006/main" count="290" uniqueCount="123">
  <si>
    <t>2se</t>
  </si>
  <si>
    <t>Body</t>
  </si>
  <si>
    <t>Sample ID</t>
  </si>
  <si>
    <t>Sample</t>
  </si>
  <si>
    <t>Reference</t>
  </si>
  <si>
    <t>Age (Ga)</t>
  </si>
  <si>
    <t>Sm (ppm)</t>
  </si>
  <si>
    <t>Nd (ppm)</t>
  </si>
  <si>
    <t>±2se</t>
  </si>
  <si>
    <t>Lu (ppm)</t>
  </si>
  <si>
    <t>Hf (ppm)</t>
  </si>
  <si>
    <t>Dike 15</t>
  </si>
  <si>
    <t>Whole-Rock</t>
  </si>
  <si>
    <t>This Study</t>
  </si>
  <si>
    <t>O'Brien and Tyni 1999</t>
  </si>
  <si>
    <t>Kalettomanpuro</t>
  </si>
  <si>
    <t>Perovskite</t>
  </si>
  <si>
    <t>Kasma 45</t>
  </si>
  <si>
    <t>Kasma 47</t>
  </si>
  <si>
    <t>Kattaisenvaara</t>
  </si>
  <si>
    <t>Lampi</t>
  </si>
  <si>
    <t>Lentiira-Kuhmo-Kostomuksha</t>
  </si>
  <si>
    <t>Lentiira (Kuhmo cluster)</t>
  </si>
  <si>
    <t>LENT W1</t>
  </si>
  <si>
    <t>Seitäperä (Kuhmo cluster)</t>
  </si>
  <si>
    <t>6501-B-2</t>
  </si>
  <si>
    <t>Kostomuksha</t>
  </si>
  <si>
    <t>578_x0002_37.4</t>
  </si>
  <si>
    <t>Kargin et al. 2014</t>
  </si>
  <si>
    <t>578_x0002_37.5</t>
  </si>
  <si>
    <t>578_x0002_38.7</t>
  </si>
  <si>
    <t>578_x0002_40</t>
  </si>
  <si>
    <t>KC_x0002_02/1</t>
  </si>
  <si>
    <t>KC_x0002_02/3</t>
  </si>
  <si>
    <t>KS_x0002_01/1</t>
  </si>
  <si>
    <t>Pipe 1</t>
  </si>
  <si>
    <t>Pipe 10</t>
  </si>
  <si>
    <t>Woodhead et al. 2019</t>
  </si>
  <si>
    <t>Pipe 14</t>
  </si>
  <si>
    <t>Pipe 2</t>
  </si>
  <si>
    <t>Peltonen et al. 1999</t>
  </si>
  <si>
    <t>Pipe 3</t>
  </si>
  <si>
    <t>Pipe 5</t>
  </si>
  <si>
    <t>Pipe 9</t>
  </si>
  <si>
    <t>9.2-PVK</t>
  </si>
  <si>
    <t>KP-01-04</t>
  </si>
  <si>
    <t>KAS45-07</t>
  </si>
  <si>
    <t>KAS45-01</t>
  </si>
  <si>
    <t>KAS47-02</t>
  </si>
  <si>
    <t>KV001</t>
  </si>
  <si>
    <t>KV003</t>
  </si>
  <si>
    <t>199-07-06</t>
  </si>
  <si>
    <t>Kaavi-Kuopio</t>
  </si>
  <si>
    <t>Kuusamo</t>
  </si>
  <si>
    <t>Rb (ppm)</t>
  </si>
  <si>
    <t>Sr (ppm)</t>
  </si>
  <si>
    <t>Core Depth (m)</t>
  </si>
  <si>
    <t>Cluster/Field</t>
  </si>
  <si>
    <t>Dalton et al. 2020</t>
  </si>
  <si>
    <t>εHf meas</t>
  </si>
  <si>
    <t>εNd meas</t>
  </si>
  <si>
    <r>
      <rPr>
        <b/>
        <vertAlign val="superscript"/>
        <sz val="14"/>
        <color theme="1"/>
        <rFont val="Calibri"/>
        <family val="2"/>
        <scheme val="minor"/>
      </rPr>
      <t>147</t>
    </r>
    <r>
      <rPr>
        <b/>
        <sz val="14"/>
        <color theme="1"/>
        <rFont val="Calibri"/>
        <family val="2"/>
        <scheme val="minor"/>
      </rPr>
      <t>Sm/</t>
    </r>
    <r>
      <rPr>
        <b/>
        <vertAlign val="superscript"/>
        <sz val="14"/>
        <color theme="1"/>
        <rFont val="Calibri"/>
        <family val="2"/>
        <scheme val="minor"/>
      </rPr>
      <t>144</t>
    </r>
    <r>
      <rPr>
        <b/>
        <sz val="14"/>
        <color theme="1"/>
        <rFont val="Calibri"/>
        <family val="2"/>
        <scheme val="minor"/>
      </rPr>
      <t>Nd</t>
    </r>
  </si>
  <si>
    <r>
      <rPr>
        <b/>
        <vertAlign val="superscript"/>
        <sz val="14"/>
        <color theme="1"/>
        <rFont val="Calibri"/>
        <family val="2"/>
        <scheme val="minor"/>
      </rPr>
      <t>143</t>
    </r>
    <r>
      <rPr>
        <b/>
        <sz val="14"/>
        <color theme="1"/>
        <rFont val="Calibri"/>
        <family val="2"/>
        <scheme val="minor"/>
      </rPr>
      <t>Nd/</t>
    </r>
    <r>
      <rPr>
        <b/>
        <vertAlign val="superscript"/>
        <sz val="14"/>
        <color theme="1"/>
        <rFont val="Calibri"/>
        <family val="2"/>
        <scheme val="minor"/>
      </rPr>
      <t>144</t>
    </r>
    <r>
      <rPr>
        <b/>
        <sz val="14"/>
        <color theme="1"/>
        <rFont val="Calibri"/>
        <family val="2"/>
        <scheme val="minor"/>
      </rPr>
      <t>Nd</t>
    </r>
  </si>
  <si>
    <r>
      <rPr>
        <b/>
        <vertAlign val="superscript"/>
        <sz val="14"/>
        <color theme="1"/>
        <rFont val="Calibri"/>
        <family val="2"/>
        <scheme val="minor"/>
      </rPr>
      <t>143</t>
    </r>
    <r>
      <rPr>
        <b/>
        <sz val="14"/>
        <color theme="1"/>
        <rFont val="Calibri"/>
        <family val="2"/>
        <scheme val="minor"/>
      </rPr>
      <t>Nd/</t>
    </r>
    <r>
      <rPr>
        <b/>
        <vertAlign val="superscript"/>
        <sz val="14"/>
        <color theme="1"/>
        <rFont val="Calibri"/>
        <family val="2"/>
        <scheme val="minor"/>
      </rPr>
      <t>144</t>
    </r>
    <r>
      <rPr>
        <b/>
        <sz val="14"/>
        <color theme="1"/>
        <rFont val="Calibri"/>
        <family val="2"/>
        <scheme val="minor"/>
      </rPr>
      <t>Nd</t>
    </r>
    <r>
      <rPr>
        <b/>
        <vertAlign val="subscript"/>
        <sz val="14"/>
        <color theme="1"/>
        <rFont val="Calibri"/>
        <family val="2"/>
        <scheme val="minor"/>
      </rPr>
      <t>(i)</t>
    </r>
  </si>
  <si>
    <r>
      <t>εNd</t>
    </r>
    <r>
      <rPr>
        <b/>
        <vertAlign val="subscript"/>
        <sz val="14"/>
        <color theme="1"/>
        <rFont val="Calibri"/>
        <family val="2"/>
        <scheme val="minor"/>
      </rPr>
      <t>(i)</t>
    </r>
  </si>
  <si>
    <r>
      <rPr>
        <b/>
        <vertAlign val="superscript"/>
        <sz val="14"/>
        <color theme="1"/>
        <rFont val="Calibri"/>
        <family val="2"/>
        <scheme val="minor"/>
      </rPr>
      <t>176</t>
    </r>
    <r>
      <rPr>
        <b/>
        <sz val="14"/>
        <color theme="1"/>
        <rFont val="Calibri"/>
        <family val="2"/>
        <scheme val="minor"/>
      </rPr>
      <t>Lu/</t>
    </r>
    <r>
      <rPr>
        <b/>
        <vertAlign val="superscript"/>
        <sz val="14"/>
        <color theme="1"/>
        <rFont val="Calibri"/>
        <family val="2"/>
        <scheme val="minor"/>
      </rPr>
      <t>177</t>
    </r>
    <r>
      <rPr>
        <b/>
        <sz val="14"/>
        <color theme="1"/>
        <rFont val="Calibri"/>
        <family val="2"/>
        <scheme val="minor"/>
      </rPr>
      <t>Hf</t>
    </r>
  </si>
  <si>
    <r>
      <rPr>
        <b/>
        <vertAlign val="superscript"/>
        <sz val="14"/>
        <color theme="1"/>
        <rFont val="Calibri"/>
        <family val="2"/>
        <scheme val="minor"/>
      </rPr>
      <t>176</t>
    </r>
    <r>
      <rPr>
        <b/>
        <sz val="14"/>
        <color theme="1"/>
        <rFont val="Calibri"/>
        <family val="2"/>
        <scheme val="minor"/>
      </rPr>
      <t>Hf/</t>
    </r>
    <r>
      <rPr>
        <b/>
        <vertAlign val="superscript"/>
        <sz val="14"/>
        <color theme="1"/>
        <rFont val="Calibri"/>
        <family val="2"/>
        <scheme val="minor"/>
      </rPr>
      <t>177</t>
    </r>
    <r>
      <rPr>
        <b/>
        <sz val="14"/>
        <color theme="1"/>
        <rFont val="Calibri"/>
        <family val="2"/>
        <scheme val="minor"/>
      </rPr>
      <t>Hf</t>
    </r>
  </si>
  <si>
    <r>
      <rPr>
        <b/>
        <vertAlign val="superscript"/>
        <sz val="14"/>
        <color theme="1"/>
        <rFont val="Calibri"/>
        <family val="2"/>
        <scheme val="minor"/>
      </rPr>
      <t>176</t>
    </r>
    <r>
      <rPr>
        <b/>
        <sz val="14"/>
        <color theme="1"/>
        <rFont val="Calibri"/>
        <family val="2"/>
        <scheme val="minor"/>
      </rPr>
      <t>Hf/</t>
    </r>
    <r>
      <rPr>
        <b/>
        <vertAlign val="superscript"/>
        <sz val="14"/>
        <color theme="1"/>
        <rFont val="Calibri"/>
        <family val="2"/>
        <scheme val="minor"/>
      </rPr>
      <t>177</t>
    </r>
    <r>
      <rPr>
        <b/>
        <sz val="14"/>
        <color theme="1"/>
        <rFont val="Calibri"/>
        <family val="2"/>
        <scheme val="minor"/>
      </rPr>
      <t>Hf</t>
    </r>
    <r>
      <rPr>
        <b/>
        <vertAlign val="subscript"/>
        <sz val="14"/>
        <color theme="1"/>
        <rFont val="Calibri"/>
        <family val="2"/>
        <scheme val="minor"/>
      </rPr>
      <t>(i)</t>
    </r>
  </si>
  <si>
    <r>
      <t>εHf</t>
    </r>
    <r>
      <rPr>
        <b/>
        <vertAlign val="subscript"/>
        <sz val="14"/>
        <color theme="1"/>
        <rFont val="Calibri"/>
        <family val="2"/>
        <scheme val="minor"/>
      </rPr>
      <t>(i)</t>
    </r>
  </si>
  <si>
    <r>
      <rPr>
        <b/>
        <vertAlign val="superscript"/>
        <sz val="14"/>
        <color theme="1"/>
        <rFont val="Calibri"/>
        <family val="2"/>
        <scheme val="minor"/>
      </rPr>
      <t>87</t>
    </r>
    <r>
      <rPr>
        <b/>
        <sz val="14"/>
        <color theme="1"/>
        <rFont val="Calibri"/>
        <family val="2"/>
        <scheme val="minor"/>
      </rPr>
      <t>Rb/</t>
    </r>
    <r>
      <rPr>
        <b/>
        <vertAlign val="superscript"/>
        <sz val="14"/>
        <color theme="1"/>
        <rFont val="Calibri"/>
        <family val="2"/>
        <scheme val="minor"/>
      </rPr>
      <t>86</t>
    </r>
    <r>
      <rPr>
        <b/>
        <sz val="14"/>
        <color theme="1"/>
        <rFont val="Calibri"/>
        <family val="2"/>
        <scheme val="minor"/>
      </rPr>
      <t>Sr</t>
    </r>
  </si>
  <si>
    <r>
      <rPr>
        <b/>
        <vertAlign val="superscript"/>
        <sz val="14"/>
        <color theme="1"/>
        <rFont val="Calibri"/>
        <family val="2"/>
        <scheme val="minor"/>
      </rPr>
      <t>87</t>
    </r>
    <r>
      <rPr>
        <b/>
        <sz val="14"/>
        <color theme="1"/>
        <rFont val="Calibri"/>
        <family val="2"/>
        <scheme val="minor"/>
      </rPr>
      <t>Sr/</t>
    </r>
    <r>
      <rPr>
        <b/>
        <vertAlign val="superscript"/>
        <sz val="14"/>
        <color theme="1"/>
        <rFont val="Calibri"/>
        <family val="2"/>
        <scheme val="minor"/>
      </rPr>
      <t>86</t>
    </r>
    <r>
      <rPr>
        <b/>
        <sz val="14"/>
        <color theme="1"/>
        <rFont val="Calibri"/>
        <family val="2"/>
        <scheme val="minor"/>
      </rPr>
      <t>Sr</t>
    </r>
  </si>
  <si>
    <r>
      <rPr>
        <b/>
        <vertAlign val="superscript"/>
        <sz val="14"/>
        <color theme="1"/>
        <rFont val="Calibri"/>
        <family val="2"/>
        <scheme val="minor"/>
      </rPr>
      <t>87</t>
    </r>
    <r>
      <rPr>
        <b/>
        <sz val="14"/>
        <color theme="1"/>
        <rFont val="Calibri"/>
        <family val="2"/>
        <scheme val="minor"/>
      </rPr>
      <t>Sr/</t>
    </r>
    <r>
      <rPr>
        <b/>
        <vertAlign val="superscript"/>
        <sz val="14"/>
        <color theme="1"/>
        <rFont val="Calibri"/>
        <family val="2"/>
        <scheme val="minor"/>
      </rPr>
      <t>86</t>
    </r>
    <r>
      <rPr>
        <b/>
        <sz val="14"/>
        <color theme="1"/>
        <rFont val="Calibri"/>
        <family val="2"/>
        <scheme val="minor"/>
      </rPr>
      <t>Sr</t>
    </r>
    <r>
      <rPr>
        <b/>
        <vertAlign val="subscript"/>
        <sz val="14"/>
        <color theme="1"/>
        <rFont val="Calibri"/>
        <family val="2"/>
        <scheme val="minor"/>
      </rPr>
      <t>(i)</t>
    </r>
  </si>
  <si>
    <r>
      <t xml:space="preserve">Rb/Sr Isochron Derived </t>
    </r>
    <r>
      <rPr>
        <b/>
        <vertAlign val="superscript"/>
        <sz val="14"/>
        <color theme="1"/>
        <rFont val="Calibri"/>
        <family val="2"/>
        <scheme val="minor"/>
      </rPr>
      <t>87</t>
    </r>
    <r>
      <rPr>
        <b/>
        <sz val="14"/>
        <color theme="1"/>
        <rFont val="Calibri"/>
        <family val="2"/>
        <scheme val="minor"/>
      </rPr>
      <t>Sr/</t>
    </r>
    <r>
      <rPr>
        <b/>
        <vertAlign val="superscript"/>
        <sz val="14"/>
        <color theme="1"/>
        <rFont val="Calibri"/>
        <family val="2"/>
        <scheme val="minor"/>
      </rPr>
      <t>86</t>
    </r>
    <r>
      <rPr>
        <b/>
        <sz val="14"/>
        <color theme="1"/>
        <rFont val="Calibri"/>
        <family val="2"/>
        <scheme val="minor"/>
      </rPr>
      <t>Sr</t>
    </r>
    <r>
      <rPr>
        <b/>
        <vertAlign val="subscript"/>
        <sz val="14"/>
        <color theme="1"/>
        <rFont val="Calibri"/>
        <family val="2"/>
        <scheme val="minor"/>
      </rPr>
      <t>(i)</t>
    </r>
  </si>
  <si>
    <t>Peucat et al. (1989)</t>
  </si>
  <si>
    <t>Villa et al. (2015)</t>
  </si>
  <si>
    <r>
      <t>ΔεHf</t>
    </r>
    <r>
      <rPr>
        <b/>
        <vertAlign val="subscript"/>
        <sz val="14"/>
        <color theme="1"/>
        <rFont val="Calibri"/>
        <family val="2"/>
        <scheme val="minor"/>
      </rPr>
      <t>(i)</t>
    </r>
  </si>
  <si>
    <r>
      <t xml:space="preserve">Decay constant for </t>
    </r>
    <r>
      <rPr>
        <vertAlign val="superscript"/>
        <sz val="12"/>
        <color theme="1"/>
        <rFont val="Calibri"/>
        <family val="2"/>
        <scheme val="minor"/>
      </rPr>
      <t>147</t>
    </r>
    <r>
      <rPr>
        <sz val="12"/>
        <color theme="1"/>
        <rFont val="Calibri"/>
        <family val="2"/>
        <scheme val="minor"/>
      </rPr>
      <t>Sm (λ)</t>
    </r>
  </si>
  <si>
    <r>
      <t>6.54 e-12 y</t>
    </r>
    <r>
      <rPr>
        <vertAlign val="superscript"/>
        <sz val="12"/>
        <color theme="1"/>
        <rFont val="Calibri"/>
        <family val="2"/>
        <scheme val="minor"/>
      </rPr>
      <t>-1</t>
    </r>
  </si>
  <si>
    <r>
      <t xml:space="preserve">Decay constant for </t>
    </r>
    <r>
      <rPr>
        <vertAlign val="superscript"/>
        <sz val="12"/>
        <color theme="1"/>
        <rFont val="Calibri"/>
        <family val="2"/>
        <scheme val="minor"/>
      </rPr>
      <t>177</t>
    </r>
    <r>
      <rPr>
        <sz val="12"/>
        <color theme="1"/>
        <rFont val="Calibri"/>
        <family val="2"/>
        <scheme val="minor"/>
      </rPr>
      <t>Lu (λ)</t>
    </r>
  </si>
  <si>
    <r>
      <t>1.867 e-11 y</t>
    </r>
    <r>
      <rPr>
        <vertAlign val="superscript"/>
        <sz val="12"/>
        <color theme="1"/>
        <rFont val="Calibri"/>
        <family val="2"/>
        <scheme val="minor"/>
      </rPr>
      <t>-1</t>
    </r>
  </si>
  <si>
    <t>Scherer et al. (2001); Söderlund et al. (2004)</t>
  </si>
  <si>
    <r>
      <t xml:space="preserve">Decay constant for </t>
    </r>
    <r>
      <rPr>
        <vertAlign val="superscript"/>
        <sz val="12"/>
        <color theme="1"/>
        <rFont val="Calibri"/>
        <family val="2"/>
        <scheme val="minor"/>
      </rPr>
      <t>87</t>
    </r>
    <r>
      <rPr>
        <sz val="12"/>
        <color theme="1"/>
        <rFont val="Calibri"/>
        <family val="2"/>
        <scheme val="minor"/>
      </rPr>
      <t>Rb (λ)</t>
    </r>
  </si>
  <si>
    <r>
      <t>1.3972 e-11 y</t>
    </r>
    <r>
      <rPr>
        <vertAlign val="superscript"/>
        <sz val="12"/>
        <color theme="1"/>
        <rFont val="Calibri"/>
        <family val="2"/>
        <scheme val="minor"/>
      </rPr>
      <t>-1</t>
    </r>
  </si>
  <si>
    <t>Ages based on those determined in Dalton et al. 2020</t>
  </si>
  <si>
    <r>
      <t>εHf</t>
    </r>
    <r>
      <rPr>
        <vertAlign val="subscript"/>
        <sz val="12"/>
        <color theme="1"/>
        <rFont val="Calibri"/>
        <family val="2"/>
        <scheme val="minor"/>
      </rPr>
      <t xml:space="preserve">(i) </t>
    </r>
    <r>
      <rPr>
        <sz val="12"/>
        <color theme="1"/>
        <rFont val="Calibri"/>
        <family val="2"/>
        <scheme val="minor"/>
      </rPr>
      <t>and εNd</t>
    </r>
    <r>
      <rPr>
        <vertAlign val="subscript"/>
        <sz val="12"/>
        <color theme="1"/>
        <rFont val="Calibri"/>
        <family val="2"/>
        <scheme val="minor"/>
      </rPr>
      <t>(i)</t>
    </r>
    <r>
      <rPr>
        <sz val="12"/>
        <color theme="1"/>
        <rFont val="Calibri"/>
        <family val="2"/>
        <scheme val="minor"/>
      </rPr>
      <t xml:space="preserve"> is notation for isotope ratios of Nd and Hf, measured in parts per ten thousand relative to CHUR (CHondritic Uniform Reservoir); </t>
    </r>
    <r>
      <rPr>
        <vertAlign val="superscript"/>
        <sz val="12"/>
        <color theme="1"/>
        <rFont val="Calibri"/>
        <family val="2"/>
        <scheme val="minor"/>
      </rPr>
      <t>143</t>
    </r>
    <r>
      <rPr>
        <sz val="12"/>
        <color theme="1"/>
        <rFont val="Calibri"/>
        <family val="2"/>
        <scheme val="minor"/>
      </rPr>
      <t>Nd/</t>
    </r>
    <r>
      <rPr>
        <vertAlign val="superscript"/>
        <sz val="12"/>
        <color theme="1"/>
        <rFont val="Calibri"/>
        <family val="2"/>
        <scheme val="minor"/>
      </rPr>
      <t>144</t>
    </r>
    <r>
      <rPr>
        <sz val="12"/>
        <color theme="1"/>
        <rFont val="Calibri"/>
        <family val="2"/>
        <scheme val="minor"/>
      </rPr>
      <t>Nd</t>
    </r>
    <r>
      <rPr>
        <vertAlign val="subscript"/>
        <sz val="12"/>
        <color theme="1"/>
        <rFont val="Calibri"/>
        <family val="2"/>
        <scheme val="minor"/>
      </rPr>
      <t xml:space="preserve">CHUR </t>
    </r>
    <r>
      <rPr>
        <sz val="12"/>
        <color theme="1"/>
        <rFont val="Calibri"/>
        <family val="2"/>
        <scheme val="minor"/>
      </rPr>
      <t xml:space="preserve">= 0.512630; </t>
    </r>
    <r>
      <rPr>
        <vertAlign val="superscript"/>
        <sz val="12"/>
        <color theme="1"/>
        <rFont val="Calibri"/>
        <family val="2"/>
        <scheme val="minor"/>
      </rPr>
      <t>147</t>
    </r>
    <r>
      <rPr>
        <sz val="12"/>
        <color theme="1"/>
        <rFont val="Calibri"/>
        <family val="2"/>
        <scheme val="minor"/>
      </rPr>
      <t>Sm/</t>
    </r>
    <r>
      <rPr>
        <vertAlign val="superscript"/>
        <sz val="12"/>
        <color theme="1"/>
        <rFont val="Calibri"/>
        <family val="2"/>
        <scheme val="minor"/>
      </rPr>
      <t>144</t>
    </r>
    <r>
      <rPr>
        <sz val="12"/>
        <color theme="1"/>
        <rFont val="Calibri"/>
        <family val="2"/>
        <scheme val="minor"/>
      </rPr>
      <t>Nd</t>
    </r>
    <r>
      <rPr>
        <vertAlign val="subscript"/>
        <sz val="12"/>
        <color theme="1"/>
        <rFont val="Calibri"/>
        <family val="2"/>
        <scheme val="minor"/>
      </rPr>
      <t>CHUR</t>
    </r>
    <r>
      <rPr>
        <sz val="12"/>
        <color theme="1"/>
        <rFont val="Calibri"/>
        <family val="2"/>
        <scheme val="minor"/>
      </rPr>
      <t xml:space="preserve">=0.1960; </t>
    </r>
    <r>
      <rPr>
        <vertAlign val="superscript"/>
        <sz val="12"/>
        <color theme="1"/>
        <rFont val="Calibri"/>
        <family val="2"/>
        <scheme val="minor"/>
      </rPr>
      <t>176</t>
    </r>
    <r>
      <rPr>
        <sz val="12"/>
        <color theme="1"/>
        <rFont val="Calibri"/>
        <family val="2"/>
        <scheme val="minor"/>
      </rPr>
      <t>Hf/</t>
    </r>
    <r>
      <rPr>
        <vertAlign val="superscript"/>
        <sz val="12"/>
        <color theme="1"/>
        <rFont val="Calibri"/>
        <family val="2"/>
        <scheme val="minor"/>
      </rPr>
      <t>177</t>
    </r>
    <r>
      <rPr>
        <sz val="12"/>
        <color theme="1"/>
        <rFont val="Calibri"/>
        <family val="2"/>
        <scheme val="minor"/>
      </rPr>
      <t>Hf</t>
    </r>
    <r>
      <rPr>
        <vertAlign val="subscript"/>
        <sz val="12"/>
        <color theme="1"/>
        <rFont val="Calibri"/>
        <family val="2"/>
        <scheme val="minor"/>
      </rPr>
      <t>CHUR</t>
    </r>
    <r>
      <rPr>
        <sz val="12"/>
        <color theme="1"/>
        <rFont val="Calibri"/>
        <family val="2"/>
        <scheme val="minor"/>
      </rPr>
      <t xml:space="preserve">=0.282785; </t>
    </r>
    <r>
      <rPr>
        <vertAlign val="superscript"/>
        <sz val="12"/>
        <color theme="1"/>
        <rFont val="Calibri"/>
        <family val="2"/>
        <scheme val="minor"/>
      </rPr>
      <t>176</t>
    </r>
    <r>
      <rPr>
        <sz val="12"/>
        <color theme="1"/>
        <rFont val="Calibri"/>
        <family val="2"/>
        <scheme val="minor"/>
      </rPr>
      <t>Lu/</t>
    </r>
    <r>
      <rPr>
        <vertAlign val="superscript"/>
        <sz val="12"/>
        <color theme="1"/>
        <rFont val="Calibri"/>
        <family val="2"/>
        <scheme val="minor"/>
      </rPr>
      <t>177</t>
    </r>
    <r>
      <rPr>
        <sz val="12"/>
        <color theme="1"/>
        <rFont val="Calibri"/>
        <family val="2"/>
        <scheme val="minor"/>
      </rPr>
      <t>Hf</t>
    </r>
    <r>
      <rPr>
        <vertAlign val="subscript"/>
        <sz val="12"/>
        <color theme="1"/>
        <rFont val="Calibri"/>
        <family val="2"/>
        <scheme val="minor"/>
      </rPr>
      <t>CHUR</t>
    </r>
    <r>
      <rPr>
        <sz val="12"/>
        <color theme="1"/>
        <rFont val="Calibri"/>
        <family val="2"/>
        <scheme val="minor"/>
      </rPr>
      <t>=0.0336 from Bouvier et al. (2008)</t>
    </r>
  </si>
  <si>
    <r>
      <t>ΔεHf</t>
    </r>
    <r>
      <rPr>
        <vertAlign val="subscript"/>
        <sz val="12"/>
        <color theme="1"/>
        <rFont val="Calibri"/>
        <family val="2"/>
        <scheme val="minor"/>
      </rPr>
      <t xml:space="preserve">(i) </t>
    </r>
    <r>
      <rPr>
        <sz val="12"/>
        <color theme="1"/>
        <rFont val="Calibri"/>
        <family val="2"/>
        <scheme val="minor"/>
      </rPr>
      <t>is a measure of displacement from the mantle Nd-Hf isotope array (Vervoort et al., 2011)</t>
    </r>
  </si>
  <si>
    <t>BCR-2</t>
  </si>
  <si>
    <t>BHVO-2</t>
  </si>
  <si>
    <t>JNd-1</t>
  </si>
  <si>
    <t>Nd-Hf-Sr isotope results for standard reference materials acquired during this study</t>
  </si>
  <si>
    <t>Jweda et al. (2016)</t>
  </si>
  <si>
    <t>Tanaka et al. (2000)</t>
  </si>
  <si>
    <t xml:space="preserve">Fourny, A., Weis, D., Scoates, J. S., 2016. Comprehensive Pb-Sr-Nd-Hf isotopic, trace element, and mineralogical characterization of mafic to ultramafic reference materials. Geochem. Geophys. Geosyst. 17, 739-773. </t>
  </si>
  <si>
    <t>Fourny et al. 2016</t>
  </si>
  <si>
    <t xml:space="preserve">Jweda, J., Bolge, L., Class, C., Goldstein, S. L., 2016. High precision Sr-Nd-Hf-Pb isotopic compositions of USGS reference material BCR-2. Geostand. Geoanal. Res. 40 (1), 101-115. </t>
  </si>
  <si>
    <t>Tanaka, T., Togashi, S., Kamioka, H., Amakawa, H., Kagami, H., Hamamoto, T., Yuhara,
M., Orihashi, Y., Yoneda, S., Shimizu, H., Kunimaru, T., Takahashi, K., Yanagi,
T., Nakano, T., Fujimaki, H., Shinjo, R., Asahara, Y., Tanimizu, M., Dragusanu,
C., 2000. JNdi-1: a neodymium isotopic reference in consistency with LaJolla
neodymium. Chem. Geol. 168, 279–281.</t>
  </si>
  <si>
    <t>Pipe</t>
  </si>
  <si>
    <t>Average Olivine Core Mg#</t>
  </si>
  <si>
    <r>
      <t>Average Olivine Rim Mg#</t>
    </r>
    <r>
      <rPr>
        <b/>
        <vertAlign val="superscript"/>
        <sz val="11"/>
        <color rgb="FFFF0000"/>
        <rFont val="Calibri"/>
        <family val="2"/>
        <scheme val="minor"/>
      </rPr>
      <t>a</t>
    </r>
  </si>
  <si>
    <r>
      <t>Average Olivine Rim MgO (wt%)</t>
    </r>
    <r>
      <rPr>
        <b/>
        <vertAlign val="superscript"/>
        <sz val="11"/>
        <color rgb="FFFF0000"/>
        <rFont val="Calibri"/>
        <family val="2"/>
        <scheme val="minor"/>
      </rPr>
      <t>a</t>
    </r>
  </si>
  <si>
    <t>Average Chromite Mg#</t>
  </si>
  <si>
    <r>
      <t>Fraction (f) of assimilated orthopyroxene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</si>
  <si>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r>
      <t>Temperature post-assimilation (K) from olivine-spinel geothermometer</t>
    </r>
    <r>
      <rPr>
        <b/>
        <vertAlign val="superscript"/>
        <sz val="11"/>
        <color theme="1"/>
        <rFont val="Calibri"/>
        <family val="2"/>
        <scheme val="minor"/>
      </rPr>
      <t>c</t>
    </r>
  </si>
  <si>
    <r>
      <t>Temperature post-assimilation (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C) from olivine-spinel geothermometer</t>
    </r>
    <r>
      <rPr>
        <b/>
        <vertAlign val="superscript"/>
        <sz val="11"/>
        <color theme="1"/>
        <rFont val="Calibri"/>
        <family val="2"/>
        <scheme val="minor"/>
      </rPr>
      <t>c</t>
    </r>
  </si>
  <si>
    <t>Temperature pre-assimilation (K) from utilising equation 1</t>
  </si>
  <si>
    <t>Temperature pre-assimilation (°C) from utilising equation 1</t>
  </si>
  <si>
    <r>
      <t>εHf</t>
    </r>
    <r>
      <rPr>
        <b/>
        <vertAlign val="subscript"/>
        <sz val="11"/>
        <color theme="1"/>
        <rFont val="Calibri"/>
        <family val="2"/>
        <scheme val="minor"/>
      </rPr>
      <t>(i)</t>
    </r>
  </si>
  <si>
    <t>a</t>
  </si>
  <si>
    <t>Olivine Rim Mg# = 82.1 + 0.12 * Chromite Mg#</t>
  </si>
  <si>
    <t>Olivine Rim MgO = 44.09 + 0.07 * Chromite Mg#</t>
  </si>
  <si>
    <t>b</t>
  </si>
  <si>
    <t>c</t>
  </si>
  <si>
    <t>Oivine-chromite Fe-Mg exchange geothermometer (O'Neill and Wall, 1987; Ballhaus et al., 1994; Fedortchouk and Canil, 2004)</t>
  </si>
  <si>
    <t>Ballhaus, C., Berry, R.F., Green, D.H., 1994. High-pressure experimental calibration of the olivine-orthopyroxene-spinel oxygen geobarometer: implications for the oxidation state of the upper mantle. Contributions to Mineralogy and Petrology 118, 109-109.</t>
  </si>
  <si>
    <t>Dalton, H., Giuliani, A., O'Brien, H., Phillips, D., Hergt, J., 2020. The role of lithospheric heterogeneity on the composition of kimberlite magmas from a single field: The case of Kaavi-Kuopio, Finland. Lithos 354-355, 105333.</t>
  </si>
  <si>
    <t>Fedortchouk, Y., Canil, D., 2004. Intensive Variables in Kimberlite Magmas, Lac de Gras, Canada and Implications for Diamond Survival. Journal of Petrology 45, 1725-1745.</t>
  </si>
  <si>
    <t>Giuliani, A., Pearson, D.G., Soltys, A., Dalton, H.B., Phillips, D., Foley, S.F., Lim, E., Goemann, K., Griffin, W.L., Mitchell, R.H., 2020. Kimberlite genesis from a common carbonate-rich primary melt modified by lithospheric mantle assimilation. Science Advances 6.</t>
  </si>
  <si>
    <t>O'Neill, H.S.C., Wall, V., 1987. The Olivine—Orthopyroxene—Spinel oxygen geobarometer, the nickel precipitation curve, and the oxygen fugacity of the Earth's Upper Mantle. Journal of Petrology 28, 1169-1191.</t>
  </si>
  <si>
    <t>Fraction of assimilated orthopyroxene calculated following the procedure of Giuliani et al. (2020).</t>
  </si>
  <si>
    <t>Fresh olivine absent from samples from P2, P3, P10, therefore Mg# and MgO values determined from linear relationship between olivine rim Mg#/MgO and chromite Mg#/MgO from Dalton et al. (2020)</t>
  </si>
  <si>
    <t xml:space="preserve">eNd and eHf values for measured and chosen referecne values based on modern average chondritic 143Nd/144N = 0.512630 and 176Hf/177Hf = 0.282785 (Bouvier et al., 2008) </t>
  </si>
  <si>
    <t>Bouvier, A., Vervoort, J.D., Patchett, P.J., 2008. The Lu–Hf and Sm–Nd isotopic composition of CHUR: Constraints from unequilibrated chondrites and implications for the bulk composition of terrestrial planets. Earth and Planetary Science Letters 273, 48-57.</t>
  </si>
  <si>
    <t>Nd-Hf-Sr isotope results for samples in this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</si>
</sst>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0.0"/>
    <numFmt numFmtId="166" formatCode="0.0000"/>
    <numFmt numFmtId="167" formatCode="0.000000"/>
    <numFmt numFmtId="168" formatCode="0.000"/>
  </numFmts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medium">
        <color auto="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7" fontId="10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5" fillId="0" borderId="5" xfId="0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6" fontId="1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8" fontId="7" fillId="0" borderId="4" xfId="0" applyNumberFormat="1" applyFont="1" applyBorder="1" applyAlignment="1">
      <alignment horizontal="center" vertical="center"/>
    </xf>
    <xf numFmtId="167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/>
    </xf>
    <xf numFmtId="167" fontId="9" fillId="0" borderId="8" xfId="0" applyNumberFormat="1" applyFont="1" applyBorder="1" applyAlignment="1">
      <alignment horizontal="center" vertical="center"/>
    </xf>
    <xf numFmtId="167" fontId="10" fillId="0" borderId="6" xfId="0" applyNumberFormat="1" applyFont="1" applyBorder="1" applyAlignment="1">
      <alignment horizontal="center" vertical="center"/>
    </xf>
    <xf numFmtId="167" fontId="9" fillId="0" borderId="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11" fillId="0" borderId="0" xfId="0" applyNumberFormat="1" applyFont="1"/>
    <xf numFmtId="0" fontId="8" fillId="0" borderId="0" xfId="0" applyFont="1"/>
    <xf numFmtId="0" fontId="11" fillId="0" borderId="0" xfId="0" applyFont="1"/>
    <xf numFmtId="164" fontId="11" fillId="0" borderId="4" xfId="0" applyNumberFormat="1" applyFont="1" applyBorder="1"/>
    <xf numFmtId="0" fontId="11" fillId="0" borderId="4" xfId="0" applyFont="1" applyBorder="1"/>
    <xf numFmtId="2" fontId="5" fillId="0" borderId="0" xfId="0" applyNumberFormat="1" applyFont="1"/>
    <xf numFmtId="2" fontId="7" fillId="0" borderId="0" xfId="0" applyNumberFormat="1" applyFont="1"/>
    <xf numFmtId="0" fontId="0" fillId="0" borderId="4" xfId="0" applyFont="1" applyBorder="1"/>
    <xf numFmtId="168" fontId="0" fillId="0" borderId="0" xfId="0" applyNumberFormat="1" applyFont="1"/>
    <xf numFmtId="167" fontId="0" fillId="0" borderId="0" xfId="0" applyNumberFormat="1" applyFont="1"/>
    <xf numFmtId="165" fontId="0" fillId="0" borderId="0" xfId="0" applyNumberFormat="1" applyFont="1"/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textRotation="90" wrapText="1"/>
    </xf>
    <xf numFmtId="168" fontId="7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/>
    <xf numFmtId="0" fontId="0" fillId="0" borderId="0" xfId="0" applyFont="1" applyBorder="1"/>
    <xf numFmtId="0" fontId="0" fillId="0" borderId="0" xfId="0" applyBorder="1"/>
    <xf numFmtId="0" fontId="6" fillId="0" borderId="0" xfId="0" applyFont="1" applyBorder="1"/>
    <xf numFmtId="167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19" fillId="0" borderId="13" xfId="0" applyFont="1" applyBorder="1"/>
    <xf numFmtId="0" fontId="2" fillId="0" borderId="0" xfId="0" applyFont="1" applyBorder="1" applyAlignment="1">
      <alignment horizontal="center" vertical="center"/>
    </xf>
    <xf numFmtId="0" fontId="20" fillId="0" borderId="0" xfId="0" applyFont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7" fontId="0" fillId="0" borderId="18" xfId="0" applyNumberFormat="1" applyFont="1" applyBorder="1" applyAlignment="1">
      <alignment horizontal="center" vertical="center"/>
    </xf>
    <xf numFmtId="167" fontId="0" fillId="0" borderId="19" xfId="0" applyNumberFormat="1" applyFont="1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0" fillId="0" borderId="0" xfId="0" applyAlignment="1">
      <alignment vertical="center"/>
    </xf>
    <xf numFmtId="16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2" fontId="5" fillId="0" borderId="4" xfId="0" applyNumberFormat="1" applyFont="1" applyBorder="1"/>
    <xf numFmtId="0" fontId="7" fillId="0" borderId="9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B00FB-1E83-47F6-A8D0-93D8D25F5A4E}">
  <dimension ref="A1:AG67"/>
  <sheetViews>
    <sheetView tabSelected="1" zoomScale="70" zoomScaleNormal="70" workbookViewId="0">
      <pane xSplit="7" ySplit="2" topLeftCell="H3" activePane="bottomRight" state="frozen"/>
      <selection pane="topRight" activeCell="H1" sqref="H1"/>
      <selection pane="bottomLeft" activeCell="A2" sqref="A2"/>
      <selection pane="bottomRight"/>
    </sheetView>
  </sheetViews>
  <sheetFormatPr defaultRowHeight="15.75" x14ac:dyDescent="0.25"/>
  <cols>
    <col min="1" max="1" width="19.7109375" style="5" customWidth="1"/>
    <col min="2" max="2" width="26" style="5" bestFit="1" customWidth="1"/>
    <col min="3" max="3" width="12.85546875" style="5" customWidth="1"/>
    <col min="4" max="4" width="13" style="5" customWidth="1"/>
    <col min="5" max="5" width="25.140625" style="5" bestFit="1" customWidth="1"/>
    <col min="6" max="6" width="22.7109375" style="5" customWidth="1"/>
    <col min="7" max="8" width="9.28515625" style="94" bestFit="1" customWidth="1"/>
    <col min="9" max="9" width="9.28515625" style="5" bestFit="1" customWidth="1"/>
    <col min="10" max="10" width="18" style="87" bestFit="1" customWidth="1"/>
    <col min="11" max="11" width="17.85546875" style="88" bestFit="1" customWidth="1"/>
    <col min="12" max="12" width="9.28515625" style="5" bestFit="1" customWidth="1"/>
    <col min="13" max="13" width="12.42578125" style="5" bestFit="1" customWidth="1"/>
    <col min="14" max="14" width="18.42578125" style="88" bestFit="1" customWidth="1"/>
    <col min="15" max="15" width="9.28515625" style="5" bestFit="1" customWidth="1"/>
    <col min="16" max="16" width="13.42578125" style="5" bestFit="1" customWidth="1"/>
    <col min="17" max="17" width="13.42578125" style="89" bestFit="1" customWidth="1"/>
    <col min="18" max="18" width="18.42578125" style="5" bestFit="1" customWidth="1"/>
    <col min="19" max="19" width="21" style="88" bestFit="1" customWidth="1"/>
    <col min="20" max="20" width="9.28515625" style="5" bestFit="1" customWidth="1"/>
    <col min="21" max="21" width="12.42578125" style="5" bestFit="1" customWidth="1"/>
    <col min="22" max="22" width="21.5703125" style="88" bestFit="1" customWidth="1"/>
    <col min="23" max="23" width="9.28515625" style="5" bestFit="1" customWidth="1"/>
    <col min="24" max="24" width="9.140625" style="55"/>
    <col min="25" max="26" width="9.28515625" style="5" bestFit="1" customWidth="1"/>
    <col min="27" max="27" width="17.42578125" style="5" bestFit="1" customWidth="1"/>
    <col min="28" max="28" width="15.42578125" style="88" bestFit="1" customWidth="1"/>
    <col min="29" max="29" width="9.28515625" style="5" bestFit="1" customWidth="1"/>
    <col min="30" max="30" width="16.7109375" style="88" bestFit="1" customWidth="1"/>
    <col min="31" max="31" width="25.5703125" style="5" customWidth="1"/>
    <col min="32" max="32" width="9.28515625" style="5" bestFit="1" customWidth="1"/>
    <col min="33" max="33" width="18.85546875" style="81" bestFit="1" customWidth="1"/>
    <col min="34" max="16384" width="9.140625" style="5"/>
  </cols>
  <sheetData>
    <row r="1" spans="1:33" s="102" customFormat="1" ht="28.5" x14ac:dyDescent="0.45">
      <c r="A1" s="101" t="s">
        <v>122</v>
      </c>
      <c r="D1" s="103"/>
      <c r="G1" s="103"/>
    </row>
    <row r="2" spans="1:33" s="58" customFormat="1" ht="53.25" customHeight="1" thickBot="1" x14ac:dyDescent="0.35">
      <c r="A2" s="59" t="s">
        <v>57</v>
      </c>
      <c r="B2" s="59" t="s">
        <v>1</v>
      </c>
      <c r="C2" s="59" t="s">
        <v>2</v>
      </c>
      <c r="D2" s="59" t="s">
        <v>56</v>
      </c>
      <c r="E2" s="59" t="s">
        <v>3</v>
      </c>
      <c r="F2" s="59" t="s">
        <v>4</v>
      </c>
      <c r="G2" s="59" t="s">
        <v>5</v>
      </c>
      <c r="H2" s="74" t="s">
        <v>6</v>
      </c>
      <c r="I2" s="59" t="s">
        <v>7</v>
      </c>
      <c r="J2" s="60" t="s">
        <v>61</v>
      </c>
      <c r="K2" s="61" t="s">
        <v>62</v>
      </c>
      <c r="L2" s="59" t="s">
        <v>8</v>
      </c>
      <c r="M2" s="59" t="s">
        <v>60</v>
      </c>
      <c r="N2" s="61" t="s">
        <v>63</v>
      </c>
      <c r="O2" s="59" t="s">
        <v>64</v>
      </c>
      <c r="P2" s="59" t="s">
        <v>9</v>
      </c>
      <c r="Q2" s="62" t="s">
        <v>10</v>
      </c>
      <c r="R2" s="59" t="s">
        <v>65</v>
      </c>
      <c r="S2" s="61" t="s">
        <v>66</v>
      </c>
      <c r="T2" s="59" t="s">
        <v>8</v>
      </c>
      <c r="U2" s="59" t="s">
        <v>59</v>
      </c>
      <c r="V2" s="61" t="s">
        <v>67</v>
      </c>
      <c r="W2" s="59" t="s">
        <v>68</v>
      </c>
      <c r="X2" s="59" t="s">
        <v>75</v>
      </c>
      <c r="Y2" s="59" t="s">
        <v>54</v>
      </c>
      <c r="Z2" s="59" t="s">
        <v>55</v>
      </c>
      <c r="AA2" s="59" t="s">
        <v>69</v>
      </c>
      <c r="AB2" s="61" t="s">
        <v>70</v>
      </c>
      <c r="AC2" s="59" t="s">
        <v>0</v>
      </c>
      <c r="AD2" s="61" t="s">
        <v>71</v>
      </c>
      <c r="AE2" s="59" t="s">
        <v>72</v>
      </c>
      <c r="AF2" s="59" t="s">
        <v>0</v>
      </c>
      <c r="AG2" s="59" t="s">
        <v>4</v>
      </c>
    </row>
    <row r="3" spans="1:33" s="1" customFormat="1" ht="20.100000000000001" customHeight="1" x14ac:dyDescent="0.25">
      <c r="A3" s="149" t="s">
        <v>52</v>
      </c>
      <c r="B3" s="6" t="s">
        <v>35</v>
      </c>
      <c r="C3" s="6">
        <v>1.1060000000000001</v>
      </c>
      <c r="D3" s="6">
        <v>8.15</v>
      </c>
      <c r="E3" s="6" t="s">
        <v>12</v>
      </c>
      <c r="F3" s="6" t="s">
        <v>13</v>
      </c>
      <c r="G3" s="6">
        <v>0.62</v>
      </c>
      <c r="H3" s="75">
        <v>8.6538099405011373</v>
      </c>
      <c r="I3" s="7">
        <v>88.009857063541574</v>
      </c>
      <c r="J3" s="8">
        <f t="shared" ref="J3:J46" si="0">0.6049*H3/I3</f>
        <v>5.9478447161092241E-2</v>
      </c>
      <c r="K3" s="9">
        <v>0.51214000000000004</v>
      </c>
      <c r="L3" s="6">
        <v>8</v>
      </c>
      <c r="M3" s="7">
        <v>-9.5975280513105332</v>
      </c>
      <c r="N3" s="9">
        <f t="shared" ref="N3:N46" si="1">K3-J3*(EXP(0.00654*G3)-1)</f>
        <v>0.51189833717634881</v>
      </c>
      <c r="O3" s="7">
        <f t="shared" ref="O3:O46" si="2">((K3-J3*(EXP(0.00654*G3)-1))/(0.512632-0.196*(EXP(0.00654*G3)-1)) -1)*10000</f>
        <v>1.2248348537413634</v>
      </c>
      <c r="P3" s="10">
        <v>4.9376268341204274E-2</v>
      </c>
      <c r="Q3" s="7">
        <v>1.8195069914064232</v>
      </c>
      <c r="R3" s="11">
        <f>0.142*P3/Q3</f>
        <v>3.8534779682442358E-3</v>
      </c>
      <c r="S3" s="9">
        <v>0.28262300000000001</v>
      </c>
      <c r="T3" s="6">
        <v>6</v>
      </c>
      <c r="U3" s="7">
        <v>-5.7287338437328472</v>
      </c>
      <c r="V3" s="9">
        <f>S3-R3*(EXP(0.01867*G3)-1)</f>
        <v>0.2825781352885865</v>
      </c>
      <c r="W3" s="7">
        <f>((S3-R3*(EXP(0.01867*G3)-1))/(0.282785-0.0336*(EXP(0.01867*G3)-1)) -1)*10000</f>
        <v>6.5273552366740262</v>
      </c>
      <c r="X3" s="84">
        <f>W3-((1.39*O3)+2.29)</f>
        <v>2.5348347899735311</v>
      </c>
      <c r="Y3" s="7"/>
      <c r="Z3" s="7"/>
      <c r="AA3" s="56"/>
      <c r="AB3" s="9"/>
      <c r="AC3" s="6"/>
      <c r="AD3" s="57"/>
      <c r="AE3" s="6"/>
      <c r="AF3" s="6"/>
      <c r="AG3" s="78"/>
    </row>
    <row r="4" spans="1:33" s="1" customFormat="1" ht="20.100000000000001" customHeight="1" x14ac:dyDescent="0.25">
      <c r="A4" s="150"/>
      <c r="B4" s="6" t="s">
        <v>35</v>
      </c>
      <c r="C4" s="13">
        <v>1.1020000000000001</v>
      </c>
      <c r="D4" s="6">
        <v>16.66</v>
      </c>
      <c r="E4" s="6" t="s">
        <v>12</v>
      </c>
      <c r="F4" s="6" t="s">
        <v>13</v>
      </c>
      <c r="G4" s="6">
        <v>0.62</v>
      </c>
      <c r="H4" s="75">
        <v>10.597751573806203</v>
      </c>
      <c r="I4" s="7">
        <v>100.30202976061483</v>
      </c>
      <c r="J4" s="8">
        <f t="shared" si="0"/>
        <v>6.3912763702740016E-2</v>
      </c>
      <c r="K4" s="9">
        <v>0.51213049999999993</v>
      </c>
      <c r="L4" s="6">
        <v>15</v>
      </c>
      <c r="M4" s="7">
        <v>-9.7828461742544004</v>
      </c>
      <c r="N4" s="9">
        <f t="shared" si="1"/>
        <v>0.51187082040712273</v>
      </c>
      <c r="O4" s="7">
        <f t="shared" si="2"/>
        <v>0.68722537980514531</v>
      </c>
      <c r="P4" s="10">
        <v>9.4275649316015661E-2</v>
      </c>
      <c r="Q4" s="7">
        <v>2.2204724128305826</v>
      </c>
      <c r="R4" s="11">
        <f>0.142*P4/Q4</f>
        <v>6.0289612811756351E-3</v>
      </c>
      <c r="S4" s="9">
        <v>0.28253166666666674</v>
      </c>
      <c r="T4" s="6">
        <v>7</v>
      </c>
      <c r="U4" s="7">
        <v>-8.4991913390752849</v>
      </c>
      <c r="V4" s="9">
        <f>S4-R4*(EXP(0.01867*G4)-1)</f>
        <v>0.2824614735553444</v>
      </c>
      <c r="W4" s="7">
        <f>((S4-R4*(EXP(0.01867*G4)-1))/(0.282785-0.0336*(EXP(0.01867*G4)-1)) -1)*10000</f>
        <v>2.3961834324426334</v>
      </c>
      <c r="X4" s="84">
        <f>W4-((1.39*O4)+2.29)</f>
        <v>-0.84905984548651858</v>
      </c>
      <c r="Y4" s="14"/>
      <c r="Z4" s="14"/>
      <c r="AA4" s="12"/>
      <c r="AB4" s="9"/>
      <c r="AC4" s="6"/>
      <c r="AD4" s="15"/>
      <c r="AE4" s="16">
        <v>0.70396999999999998</v>
      </c>
      <c r="AF4" s="16">
        <v>8</v>
      </c>
      <c r="AG4" s="78" t="s">
        <v>58</v>
      </c>
    </row>
    <row r="5" spans="1:33" ht="20.100000000000001" customHeight="1" x14ac:dyDescent="0.25">
      <c r="A5" s="150"/>
      <c r="B5" s="17" t="s">
        <v>35</v>
      </c>
      <c r="C5" s="17">
        <v>1.107</v>
      </c>
      <c r="D5" s="17"/>
      <c r="E5" s="17" t="s">
        <v>12</v>
      </c>
      <c r="F5" s="17" t="s">
        <v>14</v>
      </c>
      <c r="G5" s="17">
        <v>0.62</v>
      </c>
      <c r="H5" s="76">
        <v>10.09</v>
      </c>
      <c r="I5" s="18">
        <v>99.07</v>
      </c>
      <c r="J5" s="19">
        <f t="shared" si="0"/>
        <v>6.160735843343091E-2</v>
      </c>
      <c r="K5" s="20">
        <v>0.51215200000000005</v>
      </c>
      <c r="L5" s="17">
        <v>8</v>
      </c>
      <c r="M5" s="18"/>
      <c r="N5" s="20">
        <f t="shared" si="1"/>
        <v>0.51190168734209907</v>
      </c>
      <c r="O5" s="18">
        <f t="shared" si="2"/>
        <v>1.2902887895505089</v>
      </c>
      <c r="P5" s="21"/>
      <c r="Q5" s="18"/>
      <c r="R5" s="22"/>
      <c r="S5" s="20"/>
      <c r="T5" s="17"/>
      <c r="U5" s="18"/>
      <c r="V5" s="20"/>
      <c r="W5" s="18"/>
      <c r="X5" s="85"/>
      <c r="Y5" s="18">
        <v>13.37</v>
      </c>
      <c r="Z5" s="18">
        <v>1180.2</v>
      </c>
      <c r="AA5" s="23">
        <f>(Y5/Z5)*(2.6939+0.2832*AB5)</f>
        <v>3.2776273117532624E-2</v>
      </c>
      <c r="AB5" s="24">
        <v>0.70386800000000005</v>
      </c>
      <c r="AC5" s="17">
        <v>9</v>
      </c>
      <c r="AD5" s="25">
        <f>AB5-AA5*(EXP(0.01397*G5)-1)</f>
        <v>0.70358287859523039</v>
      </c>
      <c r="AE5" s="17"/>
      <c r="AF5" s="17"/>
      <c r="AG5" s="79"/>
    </row>
    <row r="6" spans="1:33" ht="20.100000000000001" customHeight="1" x14ac:dyDescent="0.25">
      <c r="A6" s="150"/>
      <c r="B6" s="17" t="s">
        <v>35</v>
      </c>
      <c r="C6" s="17">
        <v>1.1100000000000001</v>
      </c>
      <c r="D6" s="17"/>
      <c r="E6" s="17" t="s">
        <v>12</v>
      </c>
      <c r="F6" s="17" t="s">
        <v>14</v>
      </c>
      <c r="G6" s="17">
        <v>0.62</v>
      </c>
      <c r="H6" s="76">
        <v>10.29</v>
      </c>
      <c r="I6" s="18">
        <v>100.1</v>
      </c>
      <c r="J6" s="19">
        <f t="shared" si="0"/>
        <v>6.2182027972027973E-2</v>
      </c>
      <c r="K6" s="20">
        <v>0.51215900000000003</v>
      </c>
      <c r="L6" s="17">
        <v>8</v>
      </c>
      <c r="M6" s="18"/>
      <c r="N6" s="20">
        <f t="shared" si="1"/>
        <v>0.51190635244147553</v>
      </c>
      <c r="O6" s="18">
        <f t="shared" si="2"/>
        <v>1.3814332695250009</v>
      </c>
      <c r="P6" s="21"/>
      <c r="Q6" s="18"/>
      <c r="R6" s="22"/>
      <c r="S6" s="20"/>
      <c r="T6" s="17"/>
      <c r="U6" s="18"/>
      <c r="V6" s="20"/>
      <c r="W6" s="18"/>
      <c r="X6" s="85"/>
      <c r="Y6" s="18">
        <v>12.91</v>
      </c>
      <c r="Z6" s="18">
        <v>1478.1</v>
      </c>
      <c r="AA6" s="23">
        <f>(Y6/Z6)*(2.6939+0.2832*AB6)</f>
        <v>2.5269565882578986E-2</v>
      </c>
      <c r="AB6" s="26">
        <v>0.70367000000000002</v>
      </c>
      <c r="AC6" s="17">
        <v>8</v>
      </c>
      <c r="AD6" s="25">
        <f>AB6-AA6*(EXP(0.01397*G6)-1)</f>
        <v>0.70345017958001133</v>
      </c>
      <c r="AE6" s="17"/>
      <c r="AF6" s="17"/>
      <c r="AG6" s="79"/>
    </row>
    <row r="7" spans="1:33" s="1" customFormat="1" ht="20.100000000000001" customHeight="1" x14ac:dyDescent="0.25">
      <c r="A7" s="150"/>
      <c r="B7" s="6" t="s">
        <v>39</v>
      </c>
      <c r="C7" s="6">
        <v>2.1509999999999998</v>
      </c>
      <c r="D7" s="6">
        <v>13.21</v>
      </c>
      <c r="E7" s="6" t="s">
        <v>16</v>
      </c>
      <c r="F7" s="6" t="s">
        <v>13</v>
      </c>
      <c r="G7" s="6">
        <v>0.59299999999999997</v>
      </c>
      <c r="H7" s="75">
        <v>389.22793192883614</v>
      </c>
      <c r="I7" s="7">
        <v>3766.9256305501508</v>
      </c>
      <c r="J7" s="8">
        <f t="shared" si="0"/>
        <v>6.250295310166952E-2</v>
      </c>
      <c r="K7" s="9">
        <v>0.51215449999999996</v>
      </c>
      <c r="L7" s="6">
        <v>8</v>
      </c>
      <c r="M7" s="7">
        <v>-9.3146740741900658</v>
      </c>
      <c r="N7" s="9">
        <f t="shared" si="1"/>
        <v>0.51191162914833488</v>
      </c>
      <c r="O7" s="7">
        <f t="shared" si="2"/>
        <v>0.80559755114562037</v>
      </c>
      <c r="P7" s="10"/>
      <c r="Q7" s="7"/>
      <c r="R7" s="11"/>
      <c r="S7" s="9"/>
      <c r="T7" s="6"/>
      <c r="U7" s="7"/>
      <c r="V7" s="9"/>
      <c r="W7" s="7"/>
      <c r="X7" s="85"/>
      <c r="Y7" s="7">
        <v>6.2096622646669157</v>
      </c>
      <c r="Z7" s="7">
        <v>1781</v>
      </c>
      <c r="AA7" s="27">
        <f>(Y7/Z7)*(2.6939+0.2832*AB7)</f>
        <v>1.0087023296074525E-2</v>
      </c>
      <c r="AB7" s="9">
        <v>0.70328440000000003</v>
      </c>
      <c r="AC7" s="6">
        <v>12</v>
      </c>
      <c r="AD7" s="28">
        <f>AB7-AA7*(EXP(0.01397*G7)-1)</f>
        <v>0.70320048989616213</v>
      </c>
      <c r="AE7" s="6"/>
      <c r="AF7" s="6"/>
      <c r="AG7" s="78"/>
    </row>
    <row r="8" spans="1:33" ht="20.100000000000001" customHeight="1" x14ac:dyDescent="0.25">
      <c r="A8" s="150"/>
      <c r="B8" s="17" t="s">
        <v>39</v>
      </c>
      <c r="C8" s="17">
        <v>2.1509999999999998</v>
      </c>
      <c r="D8" s="17"/>
      <c r="E8" s="17" t="s">
        <v>12</v>
      </c>
      <c r="F8" s="17" t="s">
        <v>14</v>
      </c>
      <c r="G8" s="17">
        <v>0.59299999999999997</v>
      </c>
      <c r="H8" s="76">
        <v>10.88</v>
      </c>
      <c r="I8" s="18">
        <v>89.37</v>
      </c>
      <c r="J8" s="19">
        <f t="shared" si="0"/>
        <v>7.3641177128790425E-2</v>
      </c>
      <c r="K8" s="20">
        <v>0.51219800000000004</v>
      </c>
      <c r="L8" s="17">
        <v>8</v>
      </c>
      <c r="M8" s="18"/>
      <c r="N8" s="20">
        <f t="shared" si="1"/>
        <v>0.5119118487940274</v>
      </c>
      <c r="O8" s="18">
        <f t="shared" si="2"/>
        <v>0.80988859230579635</v>
      </c>
      <c r="P8" s="21"/>
      <c r="Q8" s="18"/>
      <c r="R8" s="22"/>
      <c r="S8" s="20"/>
      <c r="T8" s="17"/>
      <c r="U8" s="18"/>
      <c r="V8" s="20"/>
      <c r="W8" s="18"/>
      <c r="X8" s="85"/>
      <c r="Y8" s="18">
        <v>116.5</v>
      </c>
      <c r="Z8" s="18">
        <v>851.98</v>
      </c>
      <c r="AA8" s="23">
        <f>(Y8/Z8)*(2.6939+0.2832*AB8)</f>
        <v>0.39573309405385104</v>
      </c>
      <c r="AB8" s="20">
        <v>0.70674000000000003</v>
      </c>
      <c r="AC8" s="17">
        <v>8</v>
      </c>
      <c r="AD8" s="25">
        <f>AB8-AA8*(EXP(0.01397*G8)-1)</f>
        <v>0.70344804715727238</v>
      </c>
      <c r="AE8" s="29"/>
      <c r="AF8" s="17"/>
      <c r="AG8" s="79"/>
    </row>
    <row r="9" spans="1:33" ht="20.100000000000001" customHeight="1" x14ac:dyDescent="0.25">
      <c r="A9" s="150"/>
      <c r="B9" s="17" t="s">
        <v>39</v>
      </c>
      <c r="C9" s="17" t="s">
        <v>39</v>
      </c>
      <c r="D9" s="17"/>
      <c r="E9" s="17" t="s">
        <v>12</v>
      </c>
      <c r="F9" s="17" t="s">
        <v>40</v>
      </c>
      <c r="G9" s="17">
        <v>0.59299999999999997</v>
      </c>
      <c r="H9" s="76">
        <v>7.38</v>
      </c>
      <c r="I9" s="18">
        <v>56.57</v>
      </c>
      <c r="J9" s="19">
        <f t="shared" si="0"/>
        <v>7.8913947321902073E-2</v>
      </c>
      <c r="K9" s="20">
        <v>0.51215900000000003</v>
      </c>
      <c r="L9" s="17">
        <v>10</v>
      </c>
      <c r="M9" s="18"/>
      <c r="N9" s="20">
        <f t="shared" si="1"/>
        <v>0.51185236012711033</v>
      </c>
      <c r="O9" s="18">
        <f t="shared" si="2"/>
        <v>-0.35229362669308983</v>
      </c>
      <c r="P9" s="21"/>
      <c r="Q9" s="18"/>
      <c r="R9" s="22"/>
      <c r="S9" s="20"/>
      <c r="T9" s="29"/>
      <c r="U9" s="30"/>
      <c r="V9" s="20"/>
      <c r="W9" s="18"/>
      <c r="X9" s="85"/>
      <c r="Y9" s="18">
        <v>112.9</v>
      </c>
      <c r="Z9" s="18">
        <v>604.20000000000005</v>
      </c>
      <c r="AA9" s="23">
        <f>(Y9/Z9)*(2.6939+0.2832*AB9)</f>
        <v>0.54085707053002319</v>
      </c>
      <c r="AB9" s="20">
        <v>0.708233</v>
      </c>
      <c r="AC9" s="17"/>
      <c r="AD9" s="25">
        <f>AB9-AA9*(EXP(0.01397*G9)-1)</f>
        <v>0.70373381608641417</v>
      </c>
      <c r="AE9" s="17"/>
      <c r="AF9" s="17"/>
      <c r="AG9" s="79"/>
    </row>
    <row r="10" spans="1:33" ht="20.100000000000001" customHeight="1" x14ac:dyDescent="0.25">
      <c r="A10" s="150"/>
      <c r="B10" s="17" t="s">
        <v>39</v>
      </c>
      <c r="C10" s="17">
        <v>2.1509999999999998</v>
      </c>
      <c r="D10" s="17">
        <v>12.4</v>
      </c>
      <c r="E10" s="17" t="s">
        <v>12</v>
      </c>
      <c r="F10" s="17" t="s">
        <v>37</v>
      </c>
      <c r="G10" s="17">
        <v>0.59299999999999997</v>
      </c>
      <c r="H10" s="76">
        <v>6.3435620887342772</v>
      </c>
      <c r="I10" s="18">
        <v>52.061366876164605</v>
      </c>
      <c r="J10" s="19">
        <f t="shared" si="0"/>
        <v>7.3705723412962665E-2</v>
      </c>
      <c r="K10" s="24">
        <v>0.51220600000000005</v>
      </c>
      <c r="L10" s="17">
        <v>7</v>
      </c>
      <c r="M10" s="18">
        <v>-8.3100547761338905</v>
      </c>
      <c r="N10" s="20">
        <f t="shared" si="1"/>
        <v>0.511919597983302</v>
      </c>
      <c r="O10" s="18">
        <f t="shared" si="2"/>
        <v>0.96127826790803894</v>
      </c>
      <c r="P10" s="21">
        <v>6.58084373157172E-2</v>
      </c>
      <c r="Q10" s="18">
        <v>2.2920285470040511</v>
      </c>
      <c r="R10" s="22">
        <f>0.142*P10/Q10</f>
        <v>4.0770862610095254E-3</v>
      </c>
      <c r="S10" s="20">
        <v>0.28246700000000002</v>
      </c>
      <c r="T10" s="17">
        <v>5</v>
      </c>
      <c r="U10" s="18">
        <v>-11.245292359919334</v>
      </c>
      <c r="V10" s="20">
        <f>S10-R10*(EXP(0.01867*G10)-1)</f>
        <v>0.28242161051721992</v>
      </c>
      <c r="W10" s="18">
        <f>((S10-R10*(EXP(0.01867*G10)-1))/(0.282785-0.0336*(EXP(0.01867*G10)-1)) -1)*10000</f>
        <v>0.37793845791167513</v>
      </c>
      <c r="X10" s="84">
        <f>W10-((1.39*O10)+2.29)</f>
        <v>-3.248238334480499</v>
      </c>
      <c r="Y10" s="18"/>
      <c r="Z10" s="18"/>
      <c r="AA10" s="31"/>
      <c r="AB10" s="20"/>
      <c r="AC10" s="17"/>
      <c r="AD10" s="32"/>
      <c r="AE10" s="17"/>
      <c r="AF10" s="17"/>
      <c r="AG10" s="79"/>
    </row>
    <row r="11" spans="1:33" s="1" customFormat="1" ht="20.100000000000001" customHeight="1" x14ac:dyDescent="0.25">
      <c r="A11" s="150"/>
      <c r="B11" s="6" t="s">
        <v>41</v>
      </c>
      <c r="C11" s="6">
        <v>3.1230000000000002</v>
      </c>
      <c r="D11" s="6">
        <v>24.24</v>
      </c>
      <c r="E11" s="6" t="s">
        <v>12</v>
      </c>
      <c r="F11" s="6" t="s">
        <v>13</v>
      </c>
      <c r="G11" s="6">
        <v>0.58399999999999996</v>
      </c>
      <c r="H11" s="75">
        <v>9.7357834612391212</v>
      </c>
      <c r="I11" s="7">
        <v>75.2606821637916</v>
      </c>
      <c r="J11" s="8">
        <f t="shared" si="0"/>
        <v>7.8250359236537254E-2</v>
      </c>
      <c r="K11" s="9">
        <v>0.51214049999999989</v>
      </c>
      <c r="L11" s="6">
        <v>11</v>
      </c>
      <c r="M11" s="7">
        <v>-9.5877744658956487</v>
      </c>
      <c r="N11" s="9">
        <f t="shared" si="1"/>
        <v>0.51184106224165205</v>
      </c>
      <c r="O11" s="7">
        <f t="shared" si="2"/>
        <v>-0.79924284507426613</v>
      </c>
      <c r="P11" s="10">
        <v>0.19933192163861069</v>
      </c>
      <c r="Q11" s="7">
        <v>2.8689069070888702</v>
      </c>
      <c r="R11" s="11">
        <f>0.142*P11/Q11</f>
        <v>9.8661733508127059E-3</v>
      </c>
      <c r="S11" s="9">
        <v>0.28241566666666673</v>
      </c>
      <c r="T11" s="33">
        <v>6</v>
      </c>
      <c r="U11" s="34">
        <v>-12.601436257242415</v>
      </c>
      <c r="V11" s="9">
        <f>S11-R11*(EXP(0.01867*G11)-1)</f>
        <v>0.28230750442603558</v>
      </c>
      <c r="W11" s="7">
        <f>((S11-R11*(EXP(0.01867*G11)-1))/(0.282785-0.0336*(EXP(0.01867*G11)-1)) -1)*10000</f>
        <v>-3.8645341834775415</v>
      </c>
      <c r="X11" s="84">
        <f>W11-((1.39*O11)+2.29)</f>
        <v>-5.0435866288243112</v>
      </c>
      <c r="Y11" s="7"/>
      <c r="Z11" s="7"/>
      <c r="AA11" s="35"/>
      <c r="AB11" s="9"/>
      <c r="AC11" s="6"/>
      <c r="AD11" s="36"/>
      <c r="AE11" s="6"/>
      <c r="AF11" s="6"/>
      <c r="AG11" s="78"/>
    </row>
    <row r="12" spans="1:33" s="1" customFormat="1" ht="20.100000000000001" customHeight="1" x14ac:dyDescent="0.25">
      <c r="A12" s="150"/>
      <c r="B12" s="6" t="s">
        <v>41</v>
      </c>
      <c r="C12" s="6">
        <v>3.96</v>
      </c>
      <c r="D12" s="6">
        <v>36.36</v>
      </c>
      <c r="E12" s="6" t="s">
        <v>16</v>
      </c>
      <c r="F12" s="6" t="s">
        <v>13</v>
      </c>
      <c r="G12" s="6">
        <v>0.58399999999999996</v>
      </c>
      <c r="H12" s="75">
        <v>408.02820913091261</v>
      </c>
      <c r="I12" s="7">
        <v>3911.8179133270687</v>
      </c>
      <c r="J12" s="8">
        <f t="shared" si="0"/>
        <v>6.3095028749272114E-2</v>
      </c>
      <c r="K12" s="9">
        <v>0.51217049999999997</v>
      </c>
      <c r="L12" s="6">
        <v>13</v>
      </c>
      <c r="M12" s="7">
        <v>-9.0025593408138427</v>
      </c>
      <c r="N12" s="9">
        <f t="shared" si="1"/>
        <v>0.51192905658483989</v>
      </c>
      <c r="O12" s="7">
        <f t="shared" si="2"/>
        <v>0.91979294149613366</v>
      </c>
      <c r="P12" s="10"/>
      <c r="Q12" s="7"/>
      <c r="R12" s="11"/>
      <c r="S12" s="9"/>
      <c r="T12" s="6"/>
      <c r="U12" s="7"/>
      <c r="V12" s="9"/>
      <c r="W12" s="7"/>
      <c r="X12" s="85"/>
      <c r="Y12" s="7">
        <v>14.94312129007054</v>
      </c>
      <c r="Z12" s="7">
        <v>1454.9326699890944</v>
      </c>
      <c r="AA12" s="27">
        <f>(Y12/Z12)*(2.6939+0.2832*AB12)</f>
        <v>2.9713640072428178E-2</v>
      </c>
      <c r="AB12" s="9">
        <v>0.7032484</v>
      </c>
      <c r="AC12" s="6">
        <v>14</v>
      </c>
      <c r="AD12" s="28">
        <f>AB12-AA12*(EXP(0.01397*G12)-1)</f>
        <v>0.70300499028522423</v>
      </c>
      <c r="AE12" s="6"/>
      <c r="AF12" s="6"/>
      <c r="AG12" s="78"/>
    </row>
    <row r="13" spans="1:33" ht="20.100000000000001" customHeight="1" x14ac:dyDescent="0.25">
      <c r="A13" s="150"/>
      <c r="B13" s="17" t="s">
        <v>41</v>
      </c>
      <c r="C13" s="17">
        <v>3.96</v>
      </c>
      <c r="D13" s="17"/>
      <c r="E13" s="17" t="s">
        <v>12</v>
      </c>
      <c r="F13" s="17" t="s">
        <v>14</v>
      </c>
      <c r="G13" s="17">
        <v>0.58399999999999996</v>
      </c>
      <c r="H13" s="76">
        <v>11.64</v>
      </c>
      <c r="I13" s="18">
        <v>94.29</v>
      </c>
      <c r="J13" s="19">
        <f t="shared" si="0"/>
        <v>7.4674260260897227E-2</v>
      </c>
      <c r="K13" s="20">
        <v>0.51220699999999997</v>
      </c>
      <c r="L13" s="17">
        <v>8</v>
      </c>
      <c r="M13" s="18"/>
      <c r="N13" s="20">
        <f t="shared" si="1"/>
        <v>0.51192124676746575</v>
      </c>
      <c r="O13" s="18">
        <f t="shared" si="2"/>
        <v>0.76722227540182431</v>
      </c>
      <c r="P13" s="21"/>
      <c r="Q13" s="18"/>
      <c r="R13" s="22"/>
      <c r="S13" s="20"/>
      <c r="T13" s="17"/>
      <c r="U13" s="18"/>
      <c r="V13" s="20"/>
      <c r="W13" s="18"/>
      <c r="X13" s="85"/>
      <c r="Y13" s="18">
        <v>85.74</v>
      </c>
      <c r="Z13" s="18">
        <v>844.03</v>
      </c>
      <c r="AA13" s="23">
        <f>(Y13/Z13)*(2.6939+0.2832*AB13)</f>
        <v>0.29396246013590993</v>
      </c>
      <c r="AB13" s="20">
        <v>0.70580900000000002</v>
      </c>
      <c r="AC13" s="17">
        <v>8</v>
      </c>
      <c r="AD13" s="25">
        <f>AB13-AA13*(EXP(0.01397*G13)-1)</f>
        <v>0.70340090330090621</v>
      </c>
      <c r="AE13" s="17"/>
      <c r="AF13" s="17"/>
      <c r="AG13" s="79"/>
    </row>
    <row r="14" spans="1:33" s="1" customFormat="1" ht="20.100000000000001" customHeight="1" x14ac:dyDescent="0.25">
      <c r="A14" s="150"/>
      <c r="B14" s="6" t="s">
        <v>42</v>
      </c>
      <c r="C14" s="6">
        <v>5.7</v>
      </c>
      <c r="D14" s="6">
        <v>64.45</v>
      </c>
      <c r="E14" s="6" t="s">
        <v>12</v>
      </c>
      <c r="F14" s="6" t="s">
        <v>13</v>
      </c>
      <c r="G14" s="6">
        <v>0.60499999999999998</v>
      </c>
      <c r="H14" s="75">
        <v>5.2383515678455508</v>
      </c>
      <c r="I14" s="7">
        <v>41.450433201960585</v>
      </c>
      <c r="J14" s="8">
        <f t="shared" si="0"/>
        <v>7.644501199663932E-2</v>
      </c>
      <c r="K14" s="9">
        <v>0.51225149999999997</v>
      </c>
      <c r="L14" s="6">
        <v>9</v>
      </c>
      <c r="M14" s="7">
        <v>-7.4224785030974072</v>
      </c>
      <c r="N14" s="9">
        <f t="shared" si="1"/>
        <v>0.51194843083955022</v>
      </c>
      <c r="O14" s="7">
        <f t="shared" si="2"/>
        <v>1.8263045321509352</v>
      </c>
      <c r="P14" s="10">
        <v>7.0823115525962016E-2</v>
      </c>
      <c r="Q14" s="7">
        <v>1.6232972249474842</v>
      </c>
      <c r="R14" s="11">
        <f>0.142*P14/Q14</f>
        <v>6.1953425719753564E-3</v>
      </c>
      <c r="S14" s="9">
        <v>0.28248666666666672</v>
      </c>
      <c r="T14" s="6">
        <v>7</v>
      </c>
      <c r="U14" s="7">
        <v>-10.09057945388192</v>
      </c>
      <c r="V14" s="9">
        <f>S14-R14*(EXP(0.01867*G14)-1)</f>
        <v>0.28241629139552066</v>
      </c>
      <c r="W14" s="7">
        <f>((S14-R14*(EXP(0.01867*G14)-1))/(0.282785-0.0336*(EXP(0.01867*G14)-1)) -1)*10000</f>
        <v>0.45915449039313216</v>
      </c>
      <c r="X14" s="84">
        <f>W14-((1.39*O14)+2.29)</f>
        <v>-4.3694088092966679</v>
      </c>
      <c r="Y14" s="7"/>
      <c r="Z14" s="7"/>
      <c r="AA14" s="27"/>
      <c r="AB14" s="9"/>
      <c r="AC14" s="6"/>
      <c r="AD14" s="28"/>
      <c r="AE14" s="6"/>
      <c r="AF14" s="6"/>
      <c r="AG14" s="78"/>
    </row>
    <row r="15" spans="1:33" s="1" customFormat="1" ht="20.100000000000001" customHeight="1" x14ac:dyDescent="0.25">
      <c r="A15" s="150"/>
      <c r="B15" s="6" t="s">
        <v>42</v>
      </c>
      <c r="C15" s="6">
        <v>5.7</v>
      </c>
      <c r="D15" s="6">
        <v>64.45</v>
      </c>
      <c r="E15" s="6" t="s">
        <v>16</v>
      </c>
      <c r="F15" s="6" t="s">
        <v>13</v>
      </c>
      <c r="G15" s="6">
        <v>0.60499999999999998</v>
      </c>
      <c r="H15" s="75">
        <v>251.26134213316831</v>
      </c>
      <c r="I15" s="7">
        <v>2255.1534860396682</v>
      </c>
      <c r="J15" s="8">
        <f t="shared" si="0"/>
        <v>6.7395849904328869E-2</v>
      </c>
      <c r="K15" s="9">
        <v>0.51221850000000002</v>
      </c>
      <c r="L15" s="6">
        <v>7</v>
      </c>
      <c r="M15" s="7">
        <v>-8.0662151406851734</v>
      </c>
      <c r="N15" s="9">
        <f t="shared" si="1"/>
        <v>0.51195130658718191</v>
      </c>
      <c r="O15" s="7">
        <f t="shared" si="2"/>
        <v>1.8824873946732268</v>
      </c>
      <c r="P15" s="10"/>
      <c r="Q15" s="7"/>
      <c r="R15" s="11"/>
      <c r="S15" s="9"/>
      <c r="T15" s="6"/>
      <c r="U15" s="7"/>
      <c r="V15" s="9"/>
      <c r="W15" s="7"/>
      <c r="X15" s="85"/>
      <c r="Y15" s="14">
        <v>8.0502728850547953</v>
      </c>
      <c r="Z15" s="14">
        <v>2680.3998150798448</v>
      </c>
      <c r="AA15" s="27">
        <f>(Y15/Z15)*(2.6939+0.2832*AB15)</f>
        <v>8.689104143761341E-3</v>
      </c>
      <c r="AB15" s="9">
        <v>0.70340239999999998</v>
      </c>
      <c r="AC15" s="6">
        <v>13</v>
      </c>
      <c r="AD15" s="28">
        <f>AB15-AA15*(EXP(0.01397*G15)-1)</f>
        <v>0.70332864977122789</v>
      </c>
      <c r="AE15" s="6"/>
      <c r="AF15" s="6"/>
      <c r="AG15" s="78"/>
    </row>
    <row r="16" spans="1:33" s="1" customFormat="1" ht="20.100000000000001" customHeight="1" x14ac:dyDescent="0.25">
      <c r="A16" s="150"/>
      <c r="B16" s="6" t="s">
        <v>42</v>
      </c>
      <c r="C16" s="6">
        <v>5.8</v>
      </c>
      <c r="D16" s="6">
        <v>74.25</v>
      </c>
      <c r="E16" s="6" t="s">
        <v>12</v>
      </c>
      <c r="F16" s="6" t="s">
        <v>13</v>
      </c>
      <c r="G16" s="6">
        <v>0.60499999999999998</v>
      </c>
      <c r="H16" s="75">
        <v>4.543512731454963</v>
      </c>
      <c r="I16" s="7">
        <v>34.84572079133828</v>
      </c>
      <c r="J16" s="8">
        <f t="shared" si="0"/>
        <v>7.8872549881082638E-2</v>
      </c>
      <c r="K16" s="9">
        <v>0.51218699999999995</v>
      </c>
      <c r="L16" s="6">
        <v>9</v>
      </c>
      <c r="M16" s="7">
        <v>-8.6806910220205147</v>
      </c>
      <c r="N16" s="9">
        <f t="shared" si="1"/>
        <v>0.51187430677318679</v>
      </c>
      <c r="O16" s="7">
        <f t="shared" si="2"/>
        <v>0.37815860163936676</v>
      </c>
      <c r="P16" s="10">
        <v>7.8834909704306538E-2</v>
      </c>
      <c r="Q16" s="7">
        <v>1.4863102884564376</v>
      </c>
      <c r="R16" s="11">
        <f>0.142*P16/Q16</f>
        <v>7.5317766854976799E-3</v>
      </c>
      <c r="S16" s="9">
        <v>0.28240766666666672</v>
      </c>
      <c r="T16" s="6">
        <v>8</v>
      </c>
      <c r="U16" s="7">
        <v>-12.884349699874287</v>
      </c>
      <c r="V16" s="9">
        <f>S16-R16*(EXP(0.01867*G16)-1)</f>
        <v>0.28232211032812765</v>
      </c>
      <c r="W16" s="7">
        <f>((S16-R16*(EXP(0.01867*G16)-1))/(0.282785-0.0336*(EXP(0.01867*G16)-1)) -1)*10000</f>
        <v>-2.8758298794384629</v>
      </c>
      <c r="X16" s="84">
        <f>W16-((1.39*O16)+2.29)</f>
        <v>-5.6914703357171827</v>
      </c>
      <c r="Y16" s="7"/>
      <c r="Z16" s="7"/>
      <c r="AA16" s="27"/>
      <c r="AB16" s="9"/>
      <c r="AC16" s="6"/>
      <c r="AD16" s="28"/>
      <c r="AE16" s="6"/>
      <c r="AF16" s="6"/>
      <c r="AG16" s="80"/>
    </row>
    <row r="17" spans="1:33" ht="20.100000000000001" customHeight="1" x14ac:dyDescent="0.25">
      <c r="A17" s="150"/>
      <c r="B17" s="17" t="s">
        <v>42</v>
      </c>
      <c r="C17" s="17">
        <v>5.8</v>
      </c>
      <c r="D17" s="17"/>
      <c r="E17" s="17" t="s">
        <v>12</v>
      </c>
      <c r="F17" s="17" t="s">
        <v>14</v>
      </c>
      <c r="G17" s="17">
        <v>0.60499999999999998</v>
      </c>
      <c r="H17" s="76">
        <v>4.67</v>
      </c>
      <c r="I17" s="18">
        <v>36.35</v>
      </c>
      <c r="J17" s="19">
        <f t="shared" si="0"/>
        <v>7.7713425034387884E-2</v>
      </c>
      <c r="K17" s="20">
        <v>0.51222500000000004</v>
      </c>
      <c r="L17" s="17">
        <v>7</v>
      </c>
      <c r="M17" s="18"/>
      <c r="N17" s="20">
        <f t="shared" si="1"/>
        <v>0.51191690216777153</v>
      </c>
      <c r="O17" s="18">
        <f t="shared" si="2"/>
        <v>1.2103356576576019</v>
      </c>
      <c r="P17" s="21"/>
      <c r="Q17" s="18"/>
      <c r="R17" s="22"/>
      <c r="S17" s="20"/>
      <c r="T17" s="17"/>
      <c r="U17" s="18"/>
      <c r="V17" s="20"/>
      <c r="W17" s="18"/>
      <c r="X17" s="85"/>
      <c r="Y17" s="18">
        <v>25.18</v>
      </c>
      <c r="Z17" s="18">
        <v>452.86</v>
      </c>
      <c r="AA17" s="23">
        <f>(Y17/Z17)*(2.6939+0.2832*AB17)</f>
        <v>0.1608855444237601</v>
      </c>
      <c r="AB17" s="20">
        <v>0.70484400000000003</v>
      </c>
      <c r="AC17" s="29">
        <v>8</v>
      </c>
      <c r="AD17" s="25">
        <f>AB17-AA17*(EXP(0.01397*G17)-1)</f>
        <v>0.70347845695769506</v>
      </c>
      <c r="AE17" s="17"/>
      <c r="AF17" s="17"/>
    </row>
    <row r="18" spans="1:33" ht="20.100000000000001" customHeight="1" x14ac:dyDescent="0.25">
      <c r="A18" s="150"/>
      <c r="B18" s="17" t="s">
        <v>42</v>
      </c>
      <c r="C18" s="17" t="s">
        <v>42</v>
      </c>
      <c r="D18" s="17"/>
      <c r="E18" s="17" t="s">
        <v>12</v>
      </c>
      <c r="F18" s="17" t="s">
        <v>40</v>
      </c>
      <c r="G18" s="17">
        <v>0.60499999999999998</v>
      </c>
      <c r="H18" s="76">
        <v>5.15</v>
      </c>
      <c r="I18" s="18">
        <v>40.590000000000003</v>
      </c>
      <c r="J18" s="19">
        <f t="shared" si="0"/>
        <v>7.6748829761024887E-2</v>
      </c>
      <c r="K18" s="20">
        <v>0.512243</v>
      </c>
      <c r="L18" s="17">
        <v>10</v>
      </c>
      <c r="M18" s="18"/>
      <c r="N18" s="20">
        <f t="shared" si="1"/>
        <v>0.51193872634245641</v>
      </c>
      <c r="O18" s="18">
        <f t="shared" si="2"/>
        <v>1.6367098611680397</v>
      </c>
      <c r="P18" s="21"/>
      <c r="Q18" s="18"/>
      <c r="R18" s="22"/>
      <c r="S18" s="20"/>
      <c r="T18" s="17"/>
      <c r="U18" s="18"/>
      <c r="V18" s="20"/>
      <c r="W18" s="18"/>
      <c r="X18" s="85"/>
      <c r="Y18" s="18">
        <v>10.16</v>
      </c>
      <c r="Z18" s="18">
        <v>418.4</v>
      </c>
      <c r="AA18" s="23">
        <f>(Y18/Z18)*(2.6939+0.2832*AB18)</f>
        <v>7.0259494234799241E-2</v>
      </c>
      <c r="AB18" s="20">
        <v>0.70431999999999995</v>
      </c>
      <c r="AC18" s="17"/>
      <c r="AD18" s="25">
        <f>AB18-AA18*(EXP(0.01397*G18)-1)</f>
        <v>0.70372366075863535</v>
      </c>
      <c r="AE18" s="37"/>
      <c r="AF18" s="17"/>
    </row>
    <row r="19" spans="1:33" s="1" customFormat="1" ht="20.100000000000001" customHeight="1" x14ac:dyDescent="0.25">
      <c r="A19" s="150"/>
      <c r="B19" s="6" t="s">
        <v>43</v>
      </c>
      <c r="C19" s="6">
        <v>9.4</v>
      </c>
      <c r="D19" s="6">
        <v>40.549999999999997</v>
      </c>
      <c r="E19" s="6" t="s">
        <v>12</v>
      </c>
      <c r="F19" s="6" t="s">
        <v>13</v>
      </c>
      <c r="G19" s="6">
        <v>0.59099999999999997</v>
      </c>
      <c r="H19" s="75">
        <v>5.3336111286196077</v>
      </c>
      <c r="I19" s="7">
        <v>42.074084176830155</v>
      </c>
      <c r="J19" s="8">
        <f t="shared" si="0"/>
        <v>7.6681440245791432E-2</v>
      </c>
      <c r="K19" s="9">
        <v>0.51216449999999991</v>
      </c>
      <c r="L19" s="6">
        <v>13</v>
      </c>
      <c r="M19" s="7">
        <v>-9.1196023658313141</v>
      </c>
      <c r="N19" s="9">
        <f t="shared" si="1"/>
        <v>0.51186754197557449</v>
      </c>
      <c r="O19" s="7">
        <f t="shared" si="2"/>
        <v>-0.10597637680076488</v>
      </c>
      <c r="P19" s="10">
        <v>9.409587977721183E-2</v>
      </c>
      <c r="Q19" s="7">
        <v>2.0400470238674062</v>
      </c>
      <c r="R19" s="11">
        <f>0.142*P19/Q19</f>
        <v>6.54966026372955E-3</v>
      </c>
      <c r="S19" s="9">
        <v>0.28230666666666676</v>
      </c>
      <c r="T19" s="6">
        <v>6</v>
      </c>
      <c r="U19" s="7">
        <v>-16.456131913105132</v>
      </c>
      <c r="V19" s="9">
        <f>S19-R19*(EXP(0.01867*G19)-1)</f>
        <v>0.28223399773568059</v>
      </c>
      <c r="W19" s="7">
        <f>((S19-R19*(EXP(0.01867*G19)-1))/(0.282785-0.0336*(EXP(0.01867*G19)-1)) -1)*10000</f>
        <v>-6.3102072206966398</v>
      </c>
      <c r="X19" s="84">
        <f>W19-((1.39*O19)+2.29)</f>
        <v>-8.4529000569435766</v>
      </c>
      <c r="Y19" s="7"/>
      <c r="Z19" s="7"/>
      <c r="AA19" s="27"/>
      <c r="AB19" s="9"/>
      <c r="AC19" s="6"/>
      <c r="AD19" s="28"/>
      <c r="AE19" s="6"/>
      <c r="AF19" s="6"/>
      <c r="AG19" s="80"/>
    </row>
    <row r="20" spans="1:33" s="1" customFormat="1" ht="20.100000000000001" customHeight="1" x14ac:dyDescent="0.25">
      <c r="A20" s="150"/>
      <c r="B20" s="6" t="s">
        <v>43</v>
      </c>
      <c r="C20" s="6" t="s">
        <v>44</v>
      </c>
      <c r="D20" s="6"/>
      <c r="E20" s="6" t="s">
        <v>16</v>
      </c>
      <c r="F20" s="6" t="s">
        <v>13</v>
      </c>
      <c r="G20" s="6">
        <v>0.59099999999999997</v>
      </c>
      <c r="H20" s="75">
        <v>292.06139207347888</v>
      </c>
      <c r="I20" s="7">
        <v>2735.6946969815231</v>
      </c>
      <c r="J20" s="8">
        <f t="shared" si="0"/>
        <v>6.4578820239033635E-2</v>
      </c>
      <c r="K20" s="9">
        <v>0.51222650000000003</v>
      </c>
      <c r="L20" s="6">
        <v>8</v>
      </c>
      <c r="M20" s="7">
        <v>-7.9101577739970619</v>
      </c>
      <c r="N20" s="9">
        <f t="shared" si="1"/>
        <v>0.51197641081523204</v>
      </c>
      <c r="O20" s="7">
        <f t="shared" si="2"/>
        <v>2.0208958504319696</v>
      </c>
      <c r="P20" s="10"/>
      <c r="Q20" s="7"/>
      <c r="R20" s="11"/>
      <c r="S20" s="9"/>
      <c r="T20" s="6"/>
      <c r="U20" s="7"/>
      <c r="V20" s="9"/>
      <c r="W20" s="7"/>
      <c r="X20" s="85"/>
      <c r="Y20" s="34">
        <v>2.9343792782233584</v>
      </c>
      <c r="Z20" s="34">
        <v>757.92739923261922</v>
      </c>
      <c r="AA20" s="27">
        <f>(Y20/Z20)*(2.6939+0.2832*AB20)</f>
        <v>1.1200886771996257E-2</v>
      </c>
      <c r="AB20" s="9">
        <v>0.70339740000000006</v>
      </c>
      <c r="AC20" s="12">
        <v>12</v>
      </c>
      <c r="AD20" s="28">
        <f>AB20-AA20*(EXP(0.01397*G23)-1)</f>
        <v>0.70330453964196959</v>
      </c>
      <c r="AE20" s="6"/>
      <c r="AF20" s="6"/>
      <c r="AG20" s="80"/>
    </row>
    <row r="21" spans="1:33" ht="20.100000000000001" customHeight="1" x14ac:dyDescent="0.25">
      <c r="A21" s="150"/>
      <c r="B21" s="17" t="s">
        <v>43</v>
      </c>
      <c r="C21" s="17">
        <v>9.1999999999999993</v>
      </c>
      <c r="D21" s="17">
        <v>30.98</v>
      </c>
      <c r="E21" s="17" t="s">
        <v>12</v>
      </c>
      <c r="F21" s="17" t="s">
        <v>14</v>
      </c>
      <c r="G21" s="17">
        <v>0.59099999999999997</v>
      </c>
      <c r="H21" s="76">
        <v>5.4180000000000001</v>
      </c>
      <c r="I21" s="18">
        <v>42.74</v>
      </c>
      <c r="J21" s="19">
        <f t="shared" si="0"/>
        <v>7.6681052877866168E-2</v>
      </c>
      <c r="K21" s="20">
        <v>0.51216200000000001</v>
      </c>
      <c r="L21" s="17">
        <v>7</v>
      </c>
      <c r="M21" s="18"/>
      <c r="N21" s="20">
        <f t="shared" si="1"/>
        <v>0.51186504347570316</v>
      </c>
      <c r="O21" s="18">
        <f t="shared" si="2"/>
        <v>-0.15478731299478632</v>
      </c>
      <c r="P21" s="21"/>
      <c r="Q21" s="18"/>
      <c r="R21" s="22"/>
      <c r="S21" s="20"/>
      <c r="T21" s="17"/>
      <c r="U21" s="18"/>
      <c r="V21" s="20"/>
      <c r="W21" s="18"/>
      <c r="X21" s="85"/>
      <c r="Y21" s="38">
        <v>122.9</v>
      </c>
      <c r="Z21" s="38">
        <v>463.84</v>
      </c>
      <c r="AA21" s="23">
        <f>(Y21/Z21)*(2.6939+0.2832*AB21)</f>
        <v>0.76708744759158354</v>
      </c>
      <c r="AB21" s="20">
        <v>0.71039600000000003</v>
      </c>
      <c r="AC21" s="17">
        <v>7</v>
      </c>
      <c r="AD21" s="25">
        <f>AB21-AA21*(EXP(0.01397*G22)-1)</f>
        <v>0.70403650217861746</v>
      </c>
      <c r="AE21" s="37"/>
      <c r="AF21" s="17"/>
    </row>
    <row r="22" spans="1:33" ht="20.100000000000001" customHeight="1" x14ac:dyDescent="0.25">
      <c r="A22" s="150"/>
      <c r="B22" s="17" t="s">
        <v>43</v>
      </c>
      <c r="C22" s="39">
        <v>9.1999999999999993</v>
      </c>
      <c r="D22" s="17">
        <v>25.52</v>
      </c>
      <c r="E22" s="17" t="s">
        <v>12</v>
      </c>
      <c r="F22" s="17" t="s">
        <v>37</v>
      </c>
      <c r="G22" s="17">
        <v>0.59099999999999997</v>
      </c>
      <c r="H22" s="76">
        <v>5.3589164248789745</v>
      </c>
      <c r="I22" s="18">
        <v>43.037721681825239</v>
      </c>
      <c r="J22" s="19">
        <f t="shared" si="0"/>
        <v>7.5320170741710477E-2</v>
      </c>
      <c r="K22" s="20">
        <v>0.51214700000000002</v>
      </c>
      <c r="L22" s="17">
        <v>6</v>
      </c>
      <c r="M22" s="18">
        <v>-9.4609778554588519</v>
      </c>
      <c r="N22" s="20">
        <f t="shared" si="1"/>
        <v>0.51185531365411052</v>
      </c>
      <c r="O22" s="18">
        <f t="shared" si="2"/>
        <v>-0.34487005279859595</v>
      </c>
      <c r="P22" s="21">
        <v>9.0165845888463853E-2</v>
      </c>
      <c r="Q22" s="18">
        <v>2.3442016847414155</v>
      </c>
      <c r="R22" s="22">
        <f>0.142*P22/Q22</f>
        <v>5.4617954587700933E-3</v>
      </c>
      <c r="S22" s="20">
        <v>0.28238800000000003</v>
      </c>
      <c r="T22" s="17">
        <v>6</v>
      </c>
      <c r="U22" s="18">
        <v>-14.038934172604378</v>
      </c>
      <c r="V22" s="20">
        <f>S22-R22*(EXP(0.01867*G22)-1)</f>
        <v>0.28232740100382736</v>
      </c>
      <c r="W22" s="18">
        <f>((S22-R22*(EXP(0.01867*G22)-1))/(0.282785-0.0336*(EXP(0.01867*G22)-1)) -1)*10000</f>
        <v>-3.0028690014194392</v>
      </c>
      <c r="X22" s="85">
        <f>W22-((1.39*O22)+2.29)</f>
        <v>-4.8134996280293905</v>
      </c>
      <c r="Y22" s="17"/>
      <c r="Z22" s="17"/>
      <c r="AA22" s="40"/>
      <c r="AB22" s="20"/>
      <c r="AC22" s="17"/>
      <c r="AD22" s="41"/>
      <c r="AE22" s="17"/>
      <c r="AF22" s="17"/>
    </row>
    <row r="23" spans="1:33" ht="20.100000000000001" customHeight="1" x14ac:dyDescent="0.25">
      <c r="A23" s="150"/>
      <c r="B23" s="17" t="s">
        <v>43</v>
      </c>
      <c r="C23" s="39">
        <v>9.1999999999999993</v>
      </c>
      <c r="D23" s="17">
        <v>16.45</v>
      </c>
      <c r="E23" s="17" t="s">
        <v>12</v>
      </c>
      <c r="F23" s="17" t="s">
        <v>37</v>
      </c>
      <c r="G23" s="17">
        <v>0.59099999999999997</v>
      </c>
      <c r="H23" s="76">
        <v>5.8389646925658969</v>
      </c>
      <c r="I23" s="18">
        <v>46.26339223297532</v>
      </c>
      <c r="J23" s="19">
        <f t="shared" si="0"/>
        <v>7.634523912009207E-2</v>
      </c>
      <c r="K23" s="20">
        <v>0.51218200000000003</v>
      </c>
      <c r="L23" s="17">
        <v>8</v>
      </c>
      <c r="M23" s="18">
        <v>-8.7782268761982252</v>
      </c>
      <c r="N23" s="20">
        <f t="shared" si="1"/>
        <v>0.51188634395453825</v>
      </c>
      <c r="O23" s="18">
        <f t="shared" si="2"/>
        <v>0.26134091068774623</v>
      </c>
      <c r="P23" s="21">
        <v>9.0048771695149576E-2</v>
      </c>
      <c r="Q23" s="18">
        <v>2.1254874727035262</v>
      </c>
      <c r="R23" s="22">
        <f>0.142*P23/Q23</f>
        <v>6.0159966807270026E-3</v>
      </c>
      <c r="S23" s="20">
        <v>0.28236</v>
      </c>
      <c r="T23" s="17">
        <v>7</v>
      </c>
      <c r="U23" s="18">
        <v>-15.029085701151468</v>
      </c>
      <c r="V23" s="20">
        <f>S23-R23*(EXP(0.01867*G23)-1)</f>
        <v>0.28229325210316242</v>
      </c>
      <c r="W23" s="18">
        <f>((S23-R23*(EXP(0.01867*G23)-1))/(0.282785-0.0336*(EXP(0.01867*G23)-1)) -1)*10000</f>
        <v>-4.2120554309355018</v>
      </c>
      <c r="X23" s="85">
        <f>W23-((1.39*O23)+2.29)</f>
        <v>-6.8653192967914691</v>
      </c>
      <c r="Y23" s="17"/>
      <c r="Z23" s="17"/>
      <c r="AA23" s="40"/>
      <c r="AB23" s="20"/>
      <c r="AC23" s="17"/>
      <c r="AD23" s="41"/>
      <c r="AE23" s="17"/>
      <c r="AF23" s="17"/>
    </row>
    <row r="24" spans="1:33" ht="20.100000000000001" customHeight="1" x14ac:dyDescent="0.25">
      <c r="A24" s="150"/>
      <c r="B24" s="17" t="s">
        <v>36</v>
      </c>
      <c r="C24" s="17">
        <v>10.199999999999999</v>
      </c>
      <c r="D24" s="17"/>
      <c r="E24" s="17" t="s">
        <v>12</v>
      </c>
      <c r="F24" s="17" t="s">
        <v>14</v>
      </c>
      <c r="G24" s="17">
        <v>0.59499999999999997</v>
      </c>
      <c r="H24" s="76">
        <v>8.9610000000000003</v>
      </c>
      <c r="I24" s="18">
        <v>72.39</v>
      </c>
      <c r="J24" s="19">
        <f t="shared" si="0"/>
        <v>7.4879249896394523E-2</v>
      </c>
      <c r="K24" s="42">
        <v>0.51215999999999995</v>
      </c>
      <c r="L24" s="17">
        <v>7</v>
      </c>
      <c r="M24" s="18"/>
      <c r="N24" s="20">
        <f t="shared" si="1"/>
        <v>0.51186805471993535</v>
      </c>
      <c r="O24" s="18">
        <f t="shared" si="2"/>
        <v>4.5985262775438684E-3</v>
      </c>
      <c r="P24" s="21"/>
      <c r="Q24" s="18"/>
      <c r="R24" s="22"/>
      <c r="S24" s="20"/>
      <c r="T24" s="17"/>
      <c r="U24" s="18"/>
      <c r="V24" s="20"/>
      <c r="W24" s="18"/>
      <c r="X24" s="85"/>
      <c r="Y24" s="18">
        <v>110.3</v>
      </c>
      <c r="Z24" s="18">
        <v>695.89</v>
      </c>
      <c r="AA24" s="23">
        <f>(Y24/Z24)*(2.6939+0.2832*AB24)</f>
        <v>0.45873891203356859</v>
      </c>
      <c r="AB24" s="20">
        <v>0.70732399999999995</v>
      </c>
      <c r="AC24" s="39">
        <v>8</v>
      </c>
      <c r="AD24" s="25">
        <f>AB24-AA24*(EXP(0.01397*G24)-1)</f>
        <v>0.70349500179464186</v>
      </c>
      <c r="AE24" s="17"/>
      <c r="AF24" s="17"/>
      <c r="AG24" s="79"/>
    </row>
    <row r="25" spans="1:33" ht="20.100000000000001" customHeight="1" x14ac:dyDescent="0.25">
      <c r="A25" s="150"/>
      <c r="B25" s="17" t="s">
        <v>36</v>
      </c>
      <c r="C25" s="29">
        <v>10.19</v>
      </c>
      <c r="D25" s="17">
        <v>43.75</v>
      </c>
      <c r="E25" s="17" t="s">
        <v>12</v>
      </c>
      <c r="F25" s="17" t="s">
        <v>37</v>
      </c>
      <c r="G25" s="17">
        <v>0.59499999999999997</v>
      </c>
      <c r="H25" s="76">
        <v>5.1700999041311606</v>
      </c>
      <c r="I25" s="18">
        <v>42.559925981238116</v>
      </c>
      <c r="J25" s="19">
        <f t="shared" si="0"/>
        <v>7.3482116331395925E-2</v>
      </c>
      <c r="K25" s="20">
        <v>0.51216959999999989</v>
      </c>
      <c r="L25" s="17">
        <v>7</v>
      </c>
      <c r="M25" s="18">
        <v>-9.0201157945679622</v>
      </c>
      <c r="N25" s="20">
        <f t="shared" si="1"/>
        <v>0.51188310197735953</v>
      </c>
      <c r="O25" s="18">
        <f t="shared" si="2"/>
        <v>0.29856616510448575</v>
      </c>
      <c r="P25" s="21">
        <v>4.3714081501289311E-2</v>
      </c>
      <c r="Q25" s="18">
        <v>1.9052568227291506</v>
      </c>
      <c r="R25" s="22">
        <f>0.142*P25/Q25</f>
        <v>3.2580382335497451E-3</v>
      </c>
      <c r="S25" s="20">
        <v>0.28226499999999999</v>
      </c>
      <c r="T25" s="17">
        <v>7</v>
      </c>
      <c r="U25" s="18">
        <v>-18.388528387290883</v>
      </c>
      <c r="V25" s="20">
        <f>S25-R25*(EXP(0.01867*G25)-1)</f>
        <v>0.28222860582274739</v>
      </c>
      <c r="W25" s="18">
        <f>((S25-R25*(EXP(0.01867*G25)-1))/(0.282785-0.0336*(EXP(0.01867*G25)-1)) -1)*10000</f>
        <v>-6.4113486209549375</v>
      </c>
      <c r="X25" s="85">
        <f>W25-((1.39*O25)+2.29)</f>
        <v>-9.1163555904501727</v>
      </c>
      <c r="Y25" s="18"/>
      <c r="Z25" s="18"/>
      <c r="AA25" s="23"/>
      <c r="AB25" s="20"/>
      <c r="AC25" s="17"/>
      <c r="AD25" s="43"/>
      <c r="AE25" s="44">
        <v>0.70443999999999996</v>
      </c>
      <c r="AF25" s="45">
        <v>73</v>
      </c>
      <c r="AG25" s="78" t="s">
        <v>58</v>
      </c>
    </row>
    <row r="26" spans="1:33" ht="20.100000000000001" customHeight="1" x14ac:dyDescent="0.25">
      <c r="A26" s="150"/>
      <c r="B26" s="17" t="s">
        <v>36</v>
      </c>
      <c r="C26" s="29">
        <v>10.199999999999999</v>
      </c>
      <c r="D26" s="17">
        <v>36.22</v>
      </c>
      <c r="E26" s="17" t="s">
        <v>12</v>
      </c>
      <c r="F26" s="17" t="s">
        <v>37</v>
      </c>
      <c r="G26" s="17">
        <v>0.59499999999999997</v>
      </c>
      <c r="H26" s="76">
        <v>7.0279952150501703</v>
      </c>
      <c r="I26" s="18">
        <v>58.968464836520091</v>
      </c>
      <c r="J26" s="19">
        <f t="shared" si="0"/>
        <v>7.2093352224272128E-2</v>
      </c>
      <c r="K26" s="20">
        <v>0.51217599999999996</v>
      </c>
      <c r="L26" s="17">
        <v>7</v>
      </c>
      <c r="M26" s="18">
        <v>-8.8952699012156966</v>
      </c>
      <c r="N26" s="20">
        <f t="shared" si="1"/>
        <v>0.51189491660326414</v>
      </c>
      <c r="O26" s="18">
        <f t="shared" si="2"/>
        <v>0.52938016548376154</v>
      </c>
      <c r="P26" s="21">
        <v>6.7762733942810099E-2</v>
      </c>
      <c r="Q26" s="18">
        <v>2.2925524241995596</v>
      </c>
      <c r="R26" s="22">
        <f>0.142*P26/Q26</f>
        <v>4.1972031340738666E-3</v>
      </c>
      <c r="S26" s="20">
        <v>0.282364</v>
      </c>
      <c r="T26" s="17">
        <v>6</v>
      </c>
      <c r="U26" s="18">
        <v>-14.887635482787598</v>
      </c>
      <c r="V26" s="20">
        <f>S26-R26*(EXP(0.01867*G26)-1)</f>
        <v>0.28231711480594252</v>
      </c>
      <c r="W26" s="18">
        <f>((S26-R26*(EXP(0.01867*G26)-1))/(0.282785-0.0336*(EXP(0.01867*G26)-1)) -1)*10000</f>
        <v>-3.2772851286111404</v>
      </c>
      <c r="X26" s="85">
        <f>W26-((1.39*O26)+2.29)</f>
        <v>-6.303123558633569</v>
      </c>
      <c r="Y26" s="18"/>
      <c r="Z26" s="18"/>
      <c r="AA26" s="23"/>
      <c r="AB26" s="20"/>
      <c r="AC26" s="17"/>
      <c r="AD26" s="25"/>
      <c r="AE26" s="17"/>
      <c r="AF26" s="17"/>
      <c r="AG26" s="79"/>
    </row>
    <row r="27" spans="1:33" s="1" customFormat="1" ht="20.100000000000001" customHeight="1" x14ac:dyDescent="0.25">
      <c r="A27" s="150"/>
      <c r="B27" s="6" t="s">
        <v>38</v>
      </c>
      <c r="C27" s="6">
        <v>14.07</v>
      </c>
      <c r="D27" s="6">
        <v>58.77</v>
      </c>
      <c r="E27" s="6" t="s">
        <v>12</v>
      </c>
      <c r="F27" s="6" t="s">
        <v>13</v>
      </c>
      <c r="G27" s="6">
        <v>0.58499999999999996</v>
      </c>
      <c r="H27" s="75">
        <v>5.9042748926220003</v>
      </c>
      <c r="I27" s="7">
        <v>47.740507010257829</v>
      </c>
      <c r="J27" s="8">
        <f t="shared" si="0"/>
        <v>7.4810598089786809E-2</v>
      </c>
      <c r="K27" s="9">
        <v>0.51216899999999999</v>
      </c>
      <c r="L27" s="6">
        <v>7</v>
      </c>
      <c r="M27" s="7">
        <v>-9.0318200970673779</v>
      </c>
      <c r="N27" s="9">
        <f t="shared" si="1"/>
        <v>0.51188223391337795</v>
      </c>
      <c r="O27" s="10">
        <f t="shared" si="2"/>
        <v>3.0214474080469955E-2</v>
      </c>
      <c r="P27" s="10">
        <v>7.6631971521770204E-2</v>
      </c>
      <c r="Q27" s="7">
        <v>2.0790271549781112</v>
      </c>
      <c r="R27" s="11">
        <f>0.142*P27/Q27</f>
        <v>5.2340537881074159E-3</v>
      </c>
      <c r="S27" s="9">
        <v>0.28232400000000002</v>
      </c>
      <c r="T27" s="6">
        <v>5</v>
      </c>
      <c r="U27" s="7">
        <v>-16.302137666425189</v>
      </c>
      <c r="V27" s="9">
        <f>S27-R27*(EXP(0.01867*G27)-1)</f>
        <v>0.28226652060407192</v>
      </c>
      <c r="W27" s="7">
        <f>((S27-R27*(EXP(0.01867*G27)-1))/(0.282785-0.0336*(EXP(0.01867*G27)-1)) -1)*10000</f>
        <v>-5.2932730070909262</v>
      </c>
      <c r="X27" s="84">
        <f>W27-((1.39*O27)+2.29)</f>
        <v>-7.6252711260627795</v>
      </c>
      <c r="Y27" s="7"/>
      <c r="Z27" s="7"/>
      <c r="AA27" s="27"/>
      <c r="AB27" s="46"/>
      <c r="AC27" s="6"/>
      <c r="AD27" s="15"/>
      <c r="AE27" s="47">
        <v>0.70408000000000004</v>
      </c>
      <c r="AF27" s="16">
        <v>7</v>
      </c>
      <c r="AG27" s="78" t="s">
        <v>58</v>
      </c>
    </row>
    <row r="28" spans="1:33" ht="20.100000000000001" customHeight="1" x14ac:dyDescent="0.25">
      <c r="A28" s="150"/>
      <c r="B28" s="17" t="s">
        <v>38</v>
      </c>
      <c r="C28" s="17">
        <v>14.05</v>
      </c>
      <c r="D28" s="17"/>
      <c r="E28" s="17" t="s">
        <v>12</v>
      </c>
      <c r="F28" s="17" t="s">
        <v>14</v>
      </c>
      <c r="G28" s="17">
        <v>0.58499999999999996</v>
      </c>
      <c r="H28" s="76">
        <v>7.3070000000000004</v>
      </c>
      <c r="I28" s="18">
        <v>59.35</v>
      </c>
      <c r="J28" s="19">
        <f t="shared" si="0"/>
        <v>7.4473534962089305E-2</v>
      </c>
      <c r="K28" s="20">
        <v>0.51221099999999997</v>
      </c>
      <c r="L28" s="17">
        <v>7</v>
      </c>
      <c r="M28" s="18"/>
      <c r="N28" s="20">
        <f t="shared" si="1"/>
        <v>0.51192552595322982</v>
      </c>
      <c r="O28" s="18">
        <f t="shared" si="2"/>
        <v>0.87595921355987372</v>
      </c>
      <c r="P28" s="21"/>
      <c r="Q28" s="18"/>
      <c r="R28" s="22"/>
      <c r="S28" s="20"/>
      <c r="T28" s="40"/>
      <c r="U28" s="48"/>
      <c r="V28" s="20"/>
      <c r="W28" s="18"/>
      <c r="X28" s="85"/>
      <c r="Y28" s="18">
        <v>97.44</v>
      </c>
      <c r="Z28" s="18">
        <v>434.37</v>
      </c>
      <c r="AA28" s="23">
        <f t="shared" ref="AA28:AA33" si="3">(Y28/Z28)*(2.6939+0.2832*AB28)</f>
        <v>0.64936870884099729</v>
      </c>
      <c r="AB28" s="20">
        <v>0.709283</v>
      </c>
      <c r="AC28" s="17">
        <v>10</v>
      </c>
      <c r="AD28" s="25">
        <f t="shared" ref="AD28:AD33" si="4">AB28-AA28*(EXP(0.01397*G28)-1)</f>
        <v>0.70395432217692333</v>
      </c>
      <c r="AE28" s="17"/>
      <c r="AF28" s="17"/>
      <c r="AG28" s="79"/>
    </row>
    <row r="29" spans="1:33" s="86" customFormat="1" ht="20.100000000000001" customHeight="1" thickBot="1" x14ac:dyDescent="0.3">
      <c r="A29" s="151"/>
      <c r="B29" s="64" t="s">
        <v>38</v>
      </c>
      <c r="C29" s="64">
        <v>14.07</v>
      </c>
      <c r="D29" s="64"/>
      <c r="E29" s="64" t="s">
        <v>12</v>
      </c>
      <c r="F29" s="64" t="s">
        <v>14</v>
      </c>
      <c r="G29" s="64">
        <v>0.58499999999999996</v>
      </c>
      <c r="H29" s="77">
        <v>7.3979999999999997</v>
      </c>
      <c r="I29" s="65">
        <v>60.59</v>
      </c>
      <c r="J29" s="66">
        <f t="shared" si="0"/>
        <v>7.3857900643670565E-2</v>
      </c>
      <c r="K29" s="67">
        <v>0.51221799999999995</v>
      </c>
      <c r="L29" s="64">
        <v>7</v>
      </c>
      <c r="M29" s="65"/>
      <c r="N29" s="67">
        <f t="shared" si="1"/>
        <v>0.51193488581999713</v>
      </c>
      <c r="O29" s="65">
        <f t="shared" si="2"/>
        <v>1.0588117219589854</v>
      </c>
      <c r="P29" s="68"/>
      <c r="Q29" s="65"/>
      <c r="R29" s="69"/>
      <c r="S29" s="67"/>
      <c r="T29" s="64"/>
      <c r="U29" s="65"/>
      <c r="V29" s="67"/>
      <c r="W29" s="65"/>
      <c r="X29" s="146"/>
      <c r="Y29" s="65">
        <v>97.43</v>
      </c>
      <c r="Z29" s="65">
        <v>470.53</v>
      </c>
      <c r="AA29" s="70">
        <f t="shared" si="3"/>
        <v>0.59937631096878852</v>
      </c>
      <c r="AB29" s="67">
        <v>0.70881899999999998</v>
      </c>
      <c r="AC29" s="64">
        <v>10</v>
      </c>
      <c r="AD29" s="71">
        <f t="shared" si="4"/>
        <v>0.70390055657571271</v>
      </c>
      <c r="AE29" s="64"/>
      <c r="AF29" s="64"/>
      <c r="AG29" s="82"/>
    </row>
    <row r="30" spans="1:33" s="1" customFormat="1" ht="20.100000000000001" customHeight="1" x14ac:dyDescent="0.25">
      <c r="A30" s="149" t="s">
        <v>53</v>
      </c>
      <c r="B30" s="6" t="s">
        <v>15</v>
      </c>
      <c r="C30" s="6" t="s">
        <v>45</v>
      </c>
      <c r="D30" s="6">
        <v>93.5</v>
      </c>
      <c r="E30" s="6" t="s">
        <v>16</v>
      </c>
      <c r="F30" s="6" t="s">
        <v>13</v>
      </c>
      <c r="G30" s="6">
        <v>0.747</v>
      </c>
      <c r="H30" s="75">
        <v>543.87542596672347</v>
      </c>
      <c r="I30" s="7">
        <v>3553.9357329146205</v>
      </c>
      <c r="J30" s="8">
        <f t="shared" si="0"/>
        <v>9.2570679351441906E-2</v>
      </c>
      <c r="K30" s="9">
        <v>0.51228775000000004</v>
      </c>
      <c r="L30" s="6">
        <v>13</v>
      </c>
      <c r="M30" s="7">
        <v>-6.7153435602917977</v>
      </c>
      <c r="N30" s="9">
        <f t="shared" si="1"/>
        <v>0.51183440056404794</v>
      </c>
      <c r="O30" s="7">
        <f t="shared" si="2"/>
        <v>3.1715196175841065</v>
      </c>
      <c r="P30" s="10">
        <v>0.76176037705979449</v>
      </c>
      <c r="Q30" s="7">
        <v>57.928610583731107</v>
      </c>
      <c r="R30" s="11">
        <f t="shared" ref="R30:R41" si="5">0.142*P30/Q30</f>
        <v>1.8672979112133181E-3</v>
      </c>
      <c r="S30" s="9">
        <v>0.28248699999999999</v>
      </c>
      <c r="T30" s="6">
        <v>6</v>
      </c>
      <c r="U30" s="7">
        <v>-10.078791393773878</v>
      </c>
      <c r="V30" s="9">
        <f t="shared" ref="V30:V41" si="6">S30-R30*(EXP(0.01867*G30)-1)</f>
        <v>0.28246077530217856</v>
      </c>
      <c r="W30" s="7">
        <f t="shared" ref="W30:W41" si="7">((S30-R30*(EXP(0.01867*G30)-1))/(0.282785-0.0336*(EXP(0.01867*G30)-1)) -1)*10000</f>
        <v>5.2303729197378246</v>
      </c>
      <c r="X30" s="84">
        <f t="shared" ref="X30:X41" si="8">W30-((1.39*O30)+2.29)</f>
        <v>-1.4680393487040835</v>
      </c>
      <c r="Y30" s="7">
        <v>0.24670711489186373</v>
      </c>
      <c r="Z30" s="7">
        <v>1976.9170224997856</v>
      </c>
      <c r="AA30" s="63">
        <f t="shared" si="3"/>
        <v>3.6101161902268023E-4</v>
      </c>
      <c r="AB30" s="46">
        <v>0.70255483333333324</v>
      </c>
      <c r="AC30" s="6">
        <v>19</v>
      </c>
      <c r="AD30" s="36">
        <f t="shared" si="4"/>
        <v>0.70255104623817399</v>
      </c>
      <c r="AE30" s="16">
        <v>0.70262000000000002</v>
      </c>
      <c r="AF30" s="16">
        <v>6</v>
      </c>
      <c r="AG30" s="78" t="s">
        <v>58</v>
      </c>
    </row>
    <row r="31" spans="1:33" s="1" customFormat="1" ht="20.100000000000001" customHeight="1" x14ac:dyDescent="0.25">
      <c r="A31" s="150"/>
      <c r="B31" s="6" t="s">
        <v>17</v>
      </c>
      <c r="C31" s="6" t="s">
        <v>47</v>
      </c>
      <c r="D31" s="6">
        <v>50.4</v>
      </c>
      <c r="E31" s="6" t="s">
        <v>16</v>
      </c>
      <c r="F31" s="6" t="s">
        <v>13</v>
      </c>
      <c r="G31" s="6">
        <v>0.745</v>
      </c>
      <c r="H31" s="75">
        <v>621.81281413297972</v>
      </c>
      <c r="I31" s="7">
        <v>3960.7102869302798</v>
      </c>
      <c r="J31" s="8">
        <f t="shared" si="0"/>
        <v>9.4966443900283318E-2</v>
      </c>
      <c r="K31" s="46">
        <v>0.51230675000000003</v>
      </c>
      <c r="L31" s="6">
        <v>12</v>
      </c>
      <c r="M31" s="7">
        <v>-6.344707314407394</v>
      </c>
      <c r="N31" s="9">
        <f t="shared" si="1"/>
        <v>0.51184291594363951</v>
      </c>
      <c r="O31" s="7">
        <f t="shared" si="2"/>
        <v>3.2875766398454687</v>
      </c>
      <c r="P31" s="10">
        <v>0.98152780651780391</v>
      </c>
      <c r="Q31" s="7">
        <v>67.167495443178225</v>
      </c>
      <c r="R31" s="11">
        <f t="shared" si="5"/>
        <v>2.0750654405959955E-3</v>
      </c>
      <c r="S31" s="9">
        <v>0.282495</v>
      </c>
      <c r="T31" s="6">
        <v>10</v>
      </c>
      <c r="U31" s="7">
        <v>-9.7958779511420069</v>
      </c>
      <c r="V31" s="9">
        <f t="shared" si="6"/>
        <v>0.28246593594393954</v>
      </c>
      <c r="W31" s="7">
        <f t="shared" si="7"/>
        <v>5.3680830785252098</v>
      </c>
      <c r="X31" s="84">
        <f t="shared" si="8"/>
        <v>-1.4916484508599916</v>
      </c>
      <c r="Y31" s="7">
        <v>0.65409425105627683</v>
      </c>
      <c r="Z31" s="7">
        <v>976.59333015529046</v>
      </c>
      <c r="AA31" s="27">
        <f t="shared" si="3"/>
        <v>1.9375552673318497E-3</v>
      </c>
      <c r="AB31" s="9">
        <v>0.70254483333333329</v>
      </c>
      <c r="AC31" s="6">
        <v>14</v>
      </c>
      <c r="AD31" s="36">
        <f t="shared" si="4"/>
        <v>0.70252456263405871</v>
      </c>
      <c r="AE31" s="6"/>
      <c r="AF31" s="6"/>
      <c r="AG31" s="80"/>
    </row>
    <row r="32" spans="1:33" s="1" customFormat="1" ht="20.100000000000001" customHeight="1" x14ac:dyDescent="0.25">
      <c r="A32" s="150"/>
      <c r="B32" s="6" t="s">
        <v>17</v>
      </c>
      <c r="C32" s="6" t="s">
        <v>46</v>
      </c>
      <c r="D32" s="6">
        <v>13.3</v>
      </c>
      <c r="E32" s="6" t="s">
        <v>16</v>
      </c>
      <c r="F32" s="6" t="s">
        <v>13</v>
      </c>
      <c r="G32" s="6">
        <v>0.73399999999999999</v>
      </c>
      <c r="H32" s="75">
        <v>613.77593518122615</v>
      </c>
      <c r="I32" s="7">
        <v>4065.2202549880544</v>
      </c>
      <c r="J32" s="8">
        <f t="shared" si="0"/>
        <v>9.1329138374622879E-2</v>
      </c>
      <c r="K32" s="9">
        <v>0.51227675000000006</v>
      </c>
      <c r="L32" s="6">
        <v>10</v>
      </c>
      <c r="M32" s="7">
        <v>-6.9299224394869796</v>
      </c>
      <c r="N32" s="9">
        <f t="shared" si="1"/>
        <v>0.51183728330203526</v>
      </c>
      <c r="O32" s="7">
        <f t="shared" si="2"/>
        <v>2.9005074757315619</v>
      </c>
      <c r="P32" s="10">
        <v>0.92898557777847757</v>
      </c>
      <c r="Q32" s="7">
        <v>59.641003961670918</v>
      </c>
      <c r="R32" s="11">
        <f t="shared" si="5"/>
        <v>2.2118331899530289E-3</v>
      </c>
      <c r="S32" s="9">
        <v>0.282503</v>
      </c>
      <c r="T32" s="6">
        <v>7</v>
      </c>
      <c r="U32" s="7">
        <v>-9.5129645085090253</v>
      </c>
      <c r="V32" s="9">
        <f t="shared" si="6"/>
        <v>0.28247248088858012</v>
      </c>
      <c r="W32" s="7">
        <f t="shared" si="7"/>
        <v>5.3519605178853347</v>
      </c>
      <c r="X32" s="84">
        <f t="shared" si="8"/>
        <v>-0.96974487338153637</v>
      </c>
      <c r="Y32" s="7">
        <v>9.4531127171795362E-2</v>
      </c>
      <c r="Z32" s="7">
        <v>1257.0238565159018</v>
      </c>
      <c r="AA32" s="27">
        <f t="shared" si="3"/>
        <v>2.1754947000318992E-4</v>
      </c>
      <c r="AB32" s="9">
        <v>0.70252583333333329</v>
      </c>
      <c r="AC32" s="6">
        <v>17</v>
      </c>
      <c r="AD32" s="36">
        <f t="shared" si="4"/>
        <v>0.70252359110920459</v>
      </c>
      <c r="AE32" s="6"/>
      <c r="AF32" s="6"/>
      <c r="AG32" s="80"/>
    </row>
    <row r="33" spans="1:33" s="1" customFormat="1" ht="20.100000000000001" customHeight="1" x14ac:dyDescent="0.25">
      <c r="A33" s="150"/>
      <c r="B33" s="6" t="s">
        <v>17</v>
      </c>
      <c r="C33" s="6" t="s">
        <v>46</v>
      </c>
      <c r="D33" s="6">
        <v>13.3</v>
      </c>
      <c r="E33" s="6" t="s">
        <v>16</v>
      </c>
      <c r="F33" s="6" t="s">
        <v>13</v>
      </c>
      <c r="G33" s="6">
        <v>0.73399999999999999</v>
      </c>
      <c r="H33" s="75">
        <v>606.36620837687803</v>
      </c>
      <c r="I33" s="7">
        <v>4023.5890589144187</v>
      </c>
      <c r="J33" s="8">
        <f t="shared" si="0"/>
        <v>9.1160134416444424E-2</v>
      </c>
      <c r="K33" s="9">
        <v>0.51226475000000005</v>
      </c>
      <c r="L33" s="6">
        <v>10</v>
      </c>
      <c r="M33" s="7">
        <v>-7.164008489519702</v>
      </c>
      <c r="N33" s="9">
        <f t="shared" si="1"/>
        <v>0.51182609653221312</v>
      </c>
      <c r="O33" s="7">
        <f t="shared" si="2"/>
        <v>2.6818830238162228</v>
      </c>
      <c r="P33" s="10">
        <v>0.96424964579864558</v>
      </c>
      <c r="Q33" s="7">
        <v>61.078185017030428</v>
      </c>
      <c r="R33" s="11">
        <f t="shared" si="5"/>
        <v>2.2417733870976897E-3</v>
      </c>
      <c r="S33" s="9">
        <v>0.28248800000000002</v>
      </c>
      <c r="T33" s="6">
        <v>6</v>
      </c>
      <c r="U33" s="7">
        <v>-10.0434272134442</v>
      </c>
      <c r="V33" s="9">
        <f t="shared" si="6"/>
        <v>0.28245706777053092</v>
      </c>
      <c r="W33" s="7">
        <f t="shared" si="7"/>
        <v>4.8060182356279846</v>
      </c>
      <c r="X33" s="84">
        <f t="shared" si="8"/>
        <v>-1.2117991674765651</v>
      </c>
      <c r="Y33" s="7">
        <v>0.46953052681654267</v>
      </c>
      <c r="Z33" s="7">
        <v>1229.531173797161</v>
      </c>
      <c r="AA33" s="27">
        <f t="shared" si="3"/>
        <v>1.1047327007604585E-3</v>
      </c>
      <c r="AB33" s="9">
        <v>0.70267183333333327</v>
      </c>
      <c r="AC33" s="6">
        <v>18</v>
      </c>
      <c r="AD33" s="36">
        <f t="shared" si="4"/>
        <v>0.70266044714922793</v>
      </c>
      <c r="AE33" s="6"/>
      <c r="AF33" s="6"/>
      <c r="AG33" s="80"/>
    </row>
    <row r="34" spans="1:33" s="1" customFormat="1" ht="20.100000000000001" customHeight="1" x14ac:dyDescent="0.25">
      <c r="A34" s="150"/>
      <c r="B34" s="6" t="s">
        <v>18</v>
      </c>
      <c r="C34" s="6" t="s">
        <v>48</v>
      </c>
      <c r="D34" s="6">
        <v>28.6</v>
      </c>
      <c r="E34" s="6" t="s">
        <v>12</v>
      </c>
      <c r="F34" s="6" t="s">
        <v>13</v>
      </c>
      <c r="G34" s="6">
        <v>0.747</v>
      </c>
      <c r="H34" s="75">
        <v>29.535802947130243</v>
      </c>
      <c r="I34" s="7">
        <v>198.17436083170381</v>
      </c>
      <c r="J34" s="8">
        <f t="shared" si="0"/>
        <v>9.015397919154465E-2</v>
      </c>
      <c r="K34" s="9">
        <v>0.5122531818181818</v>
      </c>
      <c r="L34" s="6">
        <v>8</v>
      </c>
      <c r="M34" s="7">
        <v>-7.3896709885101775</v>
      </c>
      <c r="N34" s="9">
        <f t="shared" si="1"/>
        <v>0.51181166776749454</v>
      </c>
      <c r="O34" s="7">
        <f t="shared" si="2"/>
        <v>2.7272351716889354</v>
      </c>
      <c r="P34" s="10">
        <v>0.33207256489553699</v>
      </c>
      <c r="Q34" s="7">
        <v>18.06349211729616</v>
      </c>
      <c r="R34" s="11">
        <f t="shared" si="5"/>
        <v>2.6104755331343181E-3</v>
      </c>
      <c r="S34" s="9">
        <v>0.28246940572000007</v>
      </c>
      <c r="T34" s="6">
        <v>7</v>
      </c>
      <c r="U34" s="7">
        <v>-10.700998684450846</v>
      </c>
      <c r="V34" s="9">
        <f t="shared" si="6"/>
        <v>0.28243274369000709</v>
      </c>
      <c r="W34" s="7">
        <f t="shared" si="7"/>
        <v>4.2374466020933532</v>
      </c>
      <c r="X34" s="84">
        <f t="shared" si="8"/>
        <v>-1.843410286554267</v>
      </c>
      <c r="Y34" s="7"/>
      <c r="Z34" s="7"/>
      <c r="AA34" s="27"/>
      <c r="AB34" s="9"/>
      <c r="AC34" s="6"/>
      <c r="AD34" s="50"/>
      <c r="AE34" s="16">
        <v>0.70321</v>
      </c>
      <c r="AF34" s="16">
        <v>7</v>
      </c>
      <c r="AG34" s="78" t="s">
        <v>58</v>
      </c>
    </row>
    <row r="35" spans="1:33" s="1" customFormat="1" ht="20.100000000000001" customHeight="1" x14ac:dyDescent="0.25">
      <c r="A35" s="150"/>
      <c r="B35" s="6" t="s">
        <v>18</v>
      </c>
      <c r="C35" s="6" t="s">
        <v>48</v>
      </c>
      <c r="D35" s="6">
        <v>28.8</v>
      </c>
      <c r="E35" s="6" t="s">
        <v>12</v>
      </c>
      <c r="F35" s="6" t="s">
        <v>13</v>
      </c>
      <c r="G35" s="6">
        <v>0.74099999999999999</v>
      </c>
      <c r="H35" s="75">
        <v>29.602646373160024</v>
      </c>
      <c r="I35" s="7">
        <v>195.29276376781334</v>
      </c>
      <c r="J35" s="8">
        <f t="shared" si="0"/>
        <v>9.1691266207968608E-2</v>
      </c>
      <c r="K35" s="9">
        <v>0.51226118181818181</v>
      </c>
      <c r="L35" s="6">
        <v>14</v>
      </c>
      <c r="M35" s="7">
        <v>-7.2336136218220659</v>
      </c>
      <c r="N35" s="9">
        <f t="shared" si="1"/>
        <v>0.51181575467595564</v>
      </c>
      <c r="O35" s="7">
        <f t="shared" si="2"/>
        <v>2.6560235881900596</v>
      </c>
      <c r="P35" s="10">
        <v>0.30217908775983632</v>
      </c>
      <c r="Q35" s="7">
        <v>23.647358389932126</v>
      </c>
      <c r="R35" s="11">
        <f t="shared" si="5"/>
        <v>1.8145549179042961E-3</v>
      </c>
      <c r="S35" s="9">
        <v>0.28247040572000004</v>
      </c>
      <c r="T35" s="51">
        <v>9</v>
      </c>
      <c r="U35" s="52">
        <v>-10.665634504123389</v>
      </c>
      <c r="V35" s="9">
        <f t="shared" si="6"/>
        <v>0.28244512786472453</v>
      </c>
      <c r="W35" s="7">
        <f t="shared" si="7"/>
        <v>4.5408658356693721</v>
      </c>
      <c r="X35" s="84">
        <f t="shared" si="8"/>
        <v>-1.4410069519148099</v>
      </c>
      <c r="Y35" s="7"/>
      <c r="Z35" s="7"/>
      <c r="AA35" s="27"/>
      <c r="AB35" s="9"/>
      <c r="AC35" s="6"/>
      <c r="AD35" s="15"/>
      <c r="AE35" s="16">
        <v>0.70321</v>
      </c>
      <c r="AF35" s="16">
        <v>7</v>
      </c>
      <c r="AG35" s="78" t="s">
        <v>58</v>
      </c>
    </row>
    <row r="36" spans="1:33" s="1" customFormat="1" ht="20.100000000000001" customHeight="1" x14ac:dyDescent="0.25">
      <c r="A36" s="150"/>
      <c r="B36" s="6" t="s">
        <v>19</v>
      </c>
      <c r="C36" s="6" t="s">
        <v>49</v>
      </c>
      <c r="D36" s="6">
        <v>61.4</v>
      </c>
      <c r="E36" s="6" t="s">
        <v>16</v>
      </c>
      <c r="F36" s="6" t="s">
        <v>13</v>
      </c>
      <c r="G36" s="6">
        <v>0.746</v>
      </c>
      <c r="H36" s="75">
        <v>749.70490170665448</v>
      </c>
      <c r="I36" s="7">
        <v>5061.0186934868607</v>
      </c>
      <c r="J36" s="8">
        <f t="shared" si="0"/>
        <v>8.9605773562142763E-2</v>
      </c>
      <c r="K36" s="9">
        <v>0.51224675000000008</v>
      </c>
      <c r="L36" s="6">
        <v>7</v>
      </c>
      <c r="M36" s="7">
        <v>-7.5151375645665652</v>
      </c>
      <c r="N36" s="9">
        <f t="shared" si="1"/>
        <v>0.51180850958456892</v>
      </c>
      <c r="O36" s="7">
        <f t="shared" si="2"/>
        <v>2.6403311521483452</v>
      </c>
      <c r="P36" s="10">
        <v>0.90483086702387883</v>
      </c>
      <c r="Q36" s="7">
        <v>93.913095515596709</v>
      </c>
      <c r="R36" s="11">
        <f t="shared" si="5"/>
        <v>1.3681370251079877E-3</v>
      </c>
      <c r="S36" s="9">
        <v>0.28244800000000003</v>
      </c>
      <c r="T36" s="6">
        <v>6</v>
      </c>
      <c r="U36" s="7">
        <v>-11.457994426604667</v>
      </c>
      <c r="V36" s="9">
        <f t="shared" si="6"/>
        <v>0.28242881151709853</v>
      </c>
      <c r="W36" s="7">
        <f t="shared" si="7"/>
        <v>4.0756210234382806</v>
      </c>
      <c r="X36" s="84">
        <f t="shared" si="8"/>
        <v>-1.8844392780479193</v>
      </c>
      <c r="Y36" s="7">
        <v>0.54603960268623664</v>
      </c>
      <c r="Z36" s="7">
        <v>2413.125249820162</v>
      </c>
      <c r="AA36" s="27">
        <f>(Y36/Z36)*(2.6939+0.2832*AB36)</f>
        <v>6.5460186923252557E-4</v>
      </c>
      <c r="AB36" s="9">
        <v>0.7026728333333333</v>
      </c>
      <c r="AC36" s="6">
        <v>17</v>
      </c>
      <c r="AD36" s="28">
        <f>AB36-AA36*(EXP(0.01397*G36)-1)</f>
        <v>0.70266597564938049</v>
      </c>
      <c r="AE36" s="16">
        <v>0.70265</v>
      </c>
      <c r="AF36" s="16">
        <v>7</v>
      </c>
      <c r="AG36" s="78" t="s">
        <v>58</v>
      </c>
    </row>
    <row r="37" spans="1:33" s="1" customFormat="1" ht="20.100000000000001" customHeight="1" x14ac:dyDescent="0.25">
      <c r="A37" s="150"/>
      <c r="B37" s="6" t="s">
        <v>19</v>
      </c>
      <c r="C37" s="6" t="s">
        <v>50</v>
      </c>
      <c r="D37" s="6">
        <v>33.85</v>
      </c>
      <c r="E37" s="6" t="s">
        <v>16</v>
      </c>
      <c r="F37" s="6" t="s">
        <v>13</v>
      </c>
      <c r="G37" s="6">
        <v>0.746</v>
      </c>
      <c r="H37" s="75">
        <v>720.11133134278293</v>
      </c>
      <c r="I37" s="7">
        <v>4949.8399077505574</v>
      </c>
      <c r="J37" s="8">
        <f t="shared" si="0"/>
        <v>8.8001905606519826E-2</v>
      </c>
      <c r="K37" s="9">
        <v>0.51225975000000001</v>
      </c>
      <c r="L37" s="6">
        <v>11</v>
      </c>
      <c r="M37" s="7">
        <v>-7.261544343699633</v>
      </c>
      <c r="N37" s="9">
        <f t="shared" si="1"/>
        <v>0.51182935371928506</v>
      </c>
      <c r="O37" s="7">
        <f t="shared" si="2"/>
        <v>3.047703008369762</v>
      </c>
      <c r="P37" s="10">
        <v>0.86331678788124233</v>
      </c>
      <c r="Q37" s="7">
        <v>75.241137091352741</v>
      </c>
      <c r="R37" s="11">
        <f t="shared" si="5"/>
        <v>1.6293079639439082E-3</v>
      </c>
      <c r="S37" s="9">
        <v>0.28245500000000001</v>
      </c>
      <c r="T37" s="6">
        <v>9</v>
      </c>
      <c r="U37" s="7">
        <v>-11.210445164302474</v>
      </c>
      <c r="V37" s="9">
        <f t="shared" si="6"/>
        <v>0.28243214852574439</v>
      </c>
      <c r="W37" s="7">
        <f t="shared" si="7"/>
        <v>4.1938231525406877</v>
      </c>
      <c r="X37" s="84">
        <f t="shared" si="8"/>
        <v>-2.3324840290932816</v>
      </c>
      <c r="Y37" s="7">
        <v>1.7164420738062822</v>
      </c>
      <c r="Z37" s="7">
        <v>1721.2859377777024</v>
      </c>
      <c r="AA37" s="27">
        <f>(Y37/Z37)*(2.6939+0.2832*AB37)</f>
        <v>2.8847673526301511E-3</v>
      </c>
      <c r="AB37" s="9">
        <v>0.70271283333333323</v>
      </c>
      <c r="AC37" s="6">
        <v>17</v>
      </c>
      <c r="AD37" s="28">
        <f>AB37-AA37*(EXP(0.01397*G37)-1)</f>
        <v>0.70268261218103967</v>
      </c>
      <c r="AE37" s="16">
        <v>0.70284000000000002</v>
      </c>
      <c r="AF37" s="16">
        <v>7</v>
      </c>
      <c r="AG37" s="78" t="s">
        <v>58</v>
      </c>
    </row>
    <row r="38" spans="1:33" s="1" customFormat="1" ht="20.100000000000001" customHeight="1" x14ac:dyDescent="0.25">
      <c r="A38" s="150"/>
      <c r="B38" s="6" t="s">
        <v>20</v>
      </c>
      <c r="C38" s="33" t="s">
        <v>51</v>
      </c>
      <c r="D38" s="6">
        <v>72.8</v>
      </c>
      <c r="E38" s="6" t="s">
        <v>12</v>
      </c>
      <c r="F38" s="6" t="s">
        <v>13</v>
      </c>
      <c r="G38" s="6">
        <v>0.74299999999999999</v>
      </c>
      <c r="H38" s="75">
        <v>15.969886550700458</v>
      </c>
      <c r="I38" s="7">
        <v>103.18454688830636</v>
      </c>
      <c r="J38" s="8">
        <f t="shared" si="0"/>
        <v>9.3620456413648023E-2</v>
      </c>
      <c r="K38" s="9">
        <v>0.51228818181818181</v>
      </c>
      <c r="L38" s="6">
        <v>13</v>
      </c>
      <c r="M38" s="7">
        <v>-6.7069200092495507</v>
      </c>
      <c r="N38" s="9">
        <f t="shared" si="1"/>
        <v>0.51183215234751966</v>
      </c>
      <c r="O38" s="7">
        <f t="shared" si="2"/>
        <v>3.0268531651578279</v>
      </c>
      <c r="P38" s="10">
        <v>0.14721585499207029</v>
      </c>
      <c r="Q38" s="7">
        <v>8.119663558094965</v>
      </c>
      <c r="R38" s="11">
        <f t="shared" si="5"/>
        <v>2.574571133311665E-3</v>
      </c>
      <c r="S38" s="9">
        <v>0.28245905662000004</v>
      </c>
      <c r="T38" s="6">
        <v>6</v>
      </c>
      <c r="U38" s="7">
        <v>-11.06698612309498</v>
      </c>
      <c r="V38" s="9">
        <f t="shared" si="6"/>
        <v>0.28242309380039021</v>
      </c>
      <c r="W38" s="7">
        <f t="shared" si="7"/>
        <v>3.805470523352561</v>
      </c>
      <c r="X38" s="84">
        <f t="shared" si="8"/>
        <v>-2.6918553762168198</v>
      </c>
      <c r="Y38" s="7"/>
      <c r="Z38" s="7"/>
      <c r="AA38" s="27"/>
      <c r="AB38" s="9"/>
      <c r="AC38" s="6"/>
      <c r="AD38" s="15"/>
      <c r="AE38" s="53">
        <v>0.70274999999999999</v>
      </c>
      <c r="AF38" s="16">
        <v>5</v>
      </c>
      <c r="AG38" s="78" t="s">
        <v>58</v>
      </c>
    </row>
    <row r="39" spans="1:33" s="1" customFormat="1" ht="20.100000000000001" customHeight="1" x14ac:dyDescent="0.25">
      <c r="A39" s="150"/>
      <c r="B39" s="6" t="s">
        <v>20</v>
      </c>
      <c r="C39" s="33" t="s">
        <v>51</v>
      </c>
      <c r="D39" s="6">
        <v>85</v>
      </c>
      <c r="E39" s="6" t="s">
        <v>12</v>
      </c>
      <c r="F39" s="6" t="s">
        <v>13</v>
      </c>
      <c r="G39" s="6">
        <v>0.74299999999999999</v>
      </c>
      <c r="H39" s="75">
        <v>15.155228866775042</v>
      </c>
      <c r="I39" s="7">
        <v>88.82986908889481</v>
      </c>
      <c r="J39" s="8">
        <f t="shared" si="0"/>
        <v>0.10320174999175247</v>
      </c>
      <c r="K39" s="9">
        <v>0.51232118181818176</v>
      </c>
      <c r="L39" s="6">
        <v>8</v>
      </c>
      <c r="M39" s="7">
        <v>-6.0631833716628947</v>
      </c>
      <c r="N39" s="9">
        <f t="shared" si="1"/>
        <v>0.51181848143385322</v>
      </c>
      <c r="O39" s="7">
        <f t="shared" si="2"/>
        <v>2.7596747241687147</v>
      </c>
      <c r="P39" s="10">
        <v>0.23434931901423553</v>
      </c>
      <c r="Q39" s="7">
        <v>9.4922115642824814</v>
      </c>
      <c r="R39" s="11">
        <f t="shared" si="5"/>
        <v>3.5057797726758635E-3</v>
      </c>
      <c r="S39" s="9">
        <v>0.28245604716000006</v>
      </c>
      <c r="T39" s="6">
        <v>8</v>
      </c>
      <c r="U39" s="7">
        <v>-11.173413209227823</v>
      </c>
      <c r="V39" s="9">
        <f t="shared" si="6"/>
        <v>0.2824070767804579</v>
      </c>
      <c r="W39" s="7">
        <f t="shared" si="7"/>
        <v>3.2381261554959018</v>
      </c>
      <c r="X39" s="84">
        <f t="shared" si="8"/>
        <v>-2.8878217110986117</v>
      </c>
      <c r="Y39" s="7"/>
      <c r="Z39" s="7"/>
      <c r="AA39" s="27"/>
      <c r="AB39" s="9"/>
      <c r="AC39" s="6"/>
      <c r="AD39" s="15"/>
      <c r="AE39" s="53">
        <v>0.70274999999999999</v>
      </c>
      <c r="AF39" s="16">
        <v>5</v>
      </c>
      <c r="AG39" s="78" t="s">
        <v>58</v>
      </c>
    </row>
    <row r="40" spans="1:33" s="1" customFormat="1" ht="20.100000000000001" customHeight="1" x14ac:dyDescent="0.25">
      <c r="A40" s="150"/>
      <c r="B40" s="6" t="s">
        <v>11</v>
      </c>
      <c r="C40" s="6">
        <v>15.4</v>
      </c>
      <c r="D40" s="6">
        <v>30.75</v>
      </c>
      <c r="E40" s="6" t="s">
        <v>12</v>
      </c>
      <c r="F40" s="6" t="s">
        <v>13</v>
      </c>
      <c r="G40" s="6">
        <v>1.1779999999999999</v>
      </c>
      <c r="H40" s="75">
        <v>18.846340885423647</v>
      </c>
      <c r="I40" s="7">
        <v>124.91073130958415</v>
      </c>
      <c r="J40" s="8">
        <f t="shared" si="0"/>
        <v>9.1266390662129229E-2</v>
      </c>
      <c r="K40" s="9">
        <v>0.51185599999999998</v>
      </c>
      <c r="L40" s="6">
        <v>8</v>
      </c>
      <c r="M40" s="7">
        <v>-15.137564568735717</v>
      </c>
      <c r="N40" s="9">
        <f t="shared" si="1"/>
        <v>0.51115015731718794</v>
      </c>
      <c r="O40" s="7">
        <f t="shared" si="2"/>
        <v>0.66514122493366301</v>
      </c>
      <c r="P40" s="10">
        <v>5.0989675493399195E-2</v>
      </c>
      <c r="Q40" s="7">
        <v>8.2026824067321051</v>
      </c>
      <c r="R40" s="11">
        <f t="shared" si="5"/>
        <v>8.8270318915678538E-4</v>
      </c>
      <c r="S40" s="9">
        <v>0.28198800000000002</v>
      </c>
      <c r="T40" s="6">
        <v>5</v>
      </c>
      <c r="U40" s="7">
        <v>-28.183956008981383</v>
      </c>
      <c r="V40" s="9">
        <f t="shared" si="6"/>
        <v>0.28196837142224562</v>
      </c>
      <c r="W40" s="7">
        <f t="shared" si="7"/>
        <v>-2.4631063725188973</v>
      </c>
      <c r="X40" s="84">
        <f t="shared" si="8"/>
        <v>-5.6776526751766889</v>
      </c>
      <c r="Y40" s="7"/>
      <c r="Z40" s="7"/>
      <c r="AA40" s="35"/>
      <c r="AB40" s="54"/>
      <c r="AC40" s="6"/>
      <c r="AD40" s="50"/>
      <c r="AE40" s="16">
        <v>0.70350000000000001</v>
      </c>
      <c r="AF40" s="16">
        <v>1</v>
      </c>
      <c r="AG40" s="78" t="s">
        <v>58</v>
      </c>
    </row>
    <row r="41" spans="1:33" s="1" customFormat="1" ht="20.100000000000001" customHeight="1" x14ac:dyDescent="0.25">
      <c r="A41" s="150"/>
      <c r="B41" s="6" t="s">
        <v>11</v>
      </c>
      <c r="C41" s="6">
        <v>15.4</v>
      </c>
      <c r="D41" s="6">
        <v>30.67</v>
      </c>
      <c r="E41" s="6" t="s">
        <v>12</v>
      </c>
      <c r="F41" s="6" t="s">
        <v>13</v>
      </c>
      <c r="G41" s="6">
        <v>1.1779999999999999</v>
      </c>
      <c r="H41" s="75">
        <v>18.814770262449137</v>
      </c>
      <c r="I41" s="7">
        <v>126.76064680448543</v>
      </c>
      <c r="J41" s="8">
        <f t="shared" si="0"/>
        <v>8.9783815550495943E-2</v>
      </c>
      <c r="K41" s="9">
        <v>0.51189218181818175</v>
      </c>
      <c r="L41" s="6">
        <v>12</v>
      </c>
      <c r="M41" s="7">
        <v>-14.431759660306076</v>
      </c>
      <c r="N41" s="9">
        <f t="shared" si="1"/>
        <v>0.51119780518313029</v>
      </c>
      <c r="O41" s="7">
        <f t="shared" si="2"/>
        <v>1.5973728699059109</v>
      </c>
      <c r="P41" s="10">
        <v>0.11283383405292413</v>
      </c>
      <c r="Q41" s="7">
        <v>14.932544900437126</v>
      </c>
      <c r="R41" s="11">
        <f t="shared" si="5"/>
        <v>1.0729855187005797E-3</v>
      </c>
      <c r="S41" s="9">
        <v>0.28199637733999999</v>
      </c>
      <c r="T41" s="6">
        <v>4</v>
      </c>
      <c r="U41" s="7">
        <v>-27.429259615521229</v>
      </c>
      <c r="V41" s="9">
        <f t="shared" si="6"/>
        <v>0.28197251747414492</v>
      </c>
      <c r="W41" s="7">
        <f t="shared" si="7"/>
        <v>-2.3161029812623912</v>
      </c>
      <c r="X41" s="84">
        <f t="shared" si="8"/>
        <v>-6.8264512704316074</v>
      </c>
      <c r="Y41" s="7">
        <v>151.5</v>
      </c>
      <c r="Z41" s="7">
        <v>669</v>
      </c>
      <c r="AA41" s="27">
        <f>(Y41/Z41)*(2.6939+0.2832*AB41)</f>
        <v>0.65586141984573998</v>
      </c>
      <c r="AB41" s="9">
        <v>0.71426599999999996</v>
      </c>
      <c r="AC41" s="6">
        <v>11</v>
      </c>
      <c r="AD41" s="28">
        <f>AB41-AA41*(EXP(0.01397*G41)-1)</f>
        <v>0.70338341168081298</v>
      </c>
      <c r="AE41" s="6"/>
      <c r="AF41" s="6"/>
      <c r="AG41" s="80"/>
    </row>
    <row r="42" spans="1:33" s="86" customFormat="1" ht="20.100000000000001" customHeight="1" thickBot="1" x14ac:dyDescent="0.3">
      <c r="A42" s="151"/>
      <c r="B42" s="64" t="s">
        <v>11</v>
      </c>
      <c r="C42" s="64">
        <v>15.4</v>
      </c>
      <c r="D42" s="64"/>
      <c r="E42" s="64" t="s">
        <v>12</v>
      </c>
      <c r="F42" s="64" t="s">
        <v>14</v>
      </c>
      <c r="G42" s="64">
        <v>1.1779999999999999</v>
      </c>
      <c r="H42" s="77">
        <v>21.64</v>
      </c>
      <c r="I42" s="65">
        <v>138.4</v>
      </c>
      <c r="J42" s="66">
        <f t="shared" si="0"/>
        <v>9.4581184971098256E-2</v>
      </c>
      <c r="K42" s="67">
        <v>0.51189600000000002</v>
      </c>
      <c r="L42" s="64">
        <v>7</v>
      </c>
      <c r="M42" s="65"/>
      <c r="N42" s="67">
        <f t="shared" si="1"/>
        <v>0.51116452111868116</v>
      </c>
      <c r="O42" s="65">
        <f t="shared" si="2"/>
        <v>0.94616934716462708</v>
      </c>
      <c r="P42" s="68">
        <f>AVERAGE(O42:O42)</f>
        <v>0.94616934716462708</v>
      </c>
      <c r="Q42" s="65">
        <f>_xlfn.STDEV.P(O42:O42)</f>
        <v>0</v>
      </c>
      <c r="R42" s="69"/>
      <c r="S42" s="67"/>
      <c r="T42" s="64"/>
      <c r="U42" s="65"/>
      <c r="V42" s="67"/>
      <c r="W42" s="65"/>
      <c r="X42" s="146"/>
      <c r="Y42" s="65">
        <v>91.49</v>
      </c>
      <c r="Z42" s="65">
        <v>412.79</v>
      </c>
      <c r="AA42" s="70">
        <f>(Y42/Z42)*(2.6939+0.2832*AB42)</f>
        <v>0.64190178847495338</v>
      </c>
      <c r="AB42" s="67">
        <v>0.71423199999999998</v>
      </c>
      <c r="AC42" s="64">
        <v>11</v>
      </c>
      <c r="AD42" s="73">
        <f>AB42-AA42*(EXP(0.01397*G42)-1)</f>
        <v>0.70358104128532861</v>
      </c>
      <c r="AE42" s="64"/>
      <c r="AF42" s="64"/>
      <c r="AG42" s="83"/>
    </row>
    <row r="43" spans="1:33" s="1" customFormat="1" ht="20.100000000000001" customHeight="1" x14ac:dyDescent="0.25">
      <c r="A43" s="150" t="s">
        <v>21</v>
      </c>
      <c r="B43" s="6" t="s">
        <v>24</v>
      </c>
      <c r="C43" s="6">
        <v>16.12</v>
      </c>
      <c r="D43" s="6">
        <v>27.15</v>
      </c>
      <c r="E43" s="6" t="s">
        <v>12</v>
      </c>
      <c r="F43" s="6" t="s">
        <v>13</v>
      </c>
      <c r="G43" s="6">
        <v>1.2</v>
      </c>
      <c r="H43" s="75">
        <v>7.0748469184190821</v>
      </c>
      <c r="I43" s="7">
        <v>60.468760089769937</v>
      </c>
      <c r="J43" s="8">
        <f t="shared" si="0"/>
        <v>7.0773319886142633E-2</v>
      </c>
      <c r="K43" s="9">
        <v>0.51125759999999998</v>
      </c>
      <c r="L43" s="6">
        <v>6</v>
      </c>
      <c r="M43" s="7">
        <v>-26.810655596997137</v>
      </c>
      <c r="N43" s="9">
        <f t="shared" si="1"/>
        <v>0.51069998576929565</v>
      </c>
      <c r="O43" s="7">
        <f t="shared" si="2"/>
        <v>-7.5868476380447358</v>
      </c>
      <c r="P43" s="10">
        <v>4.1978827552853593E-2</v>
      </c>
      <c r="Q43" s="7">
        <v>10.660652613033902</v>
      </c>
      <c r="R43" s="11">
        <f>0.142*P43/Q43</f>
        <v>5.5915840510713146E-4</v>
      </c>
      <c r="S43" s="9">
        <v>0.28172220000000003</v>
      </c>
      <c r="T43" s="6">
        <v>6</v>
      </c>
      <c r="U43" s="7">
        <v>-37.583323019253491</v>
      </c>
      <c r="V43" s="9">
        <f>S43-R43*(EXP(0.01867*G43)-1)</f>
        <v>0.28170953122943243</v>
      </c>
      <c r="W43" s="7">
        <f>((S43-R43*(EXP(0.01867*G43)-1))/(0.282785-0.0336*(EXP(0.01867*G43)-1)) -1)*10000</f>
        <v>-11.140851987038181</v>
      </c>
      <c r="X43" s="84">
        <f>W43-((1.39*O43)+2.29)</f>
        <v>-2.8851337701559974</v>
      </c>
      <c r="Y43" s="7"/>
      <c r="Z43" s="7"/>
      <c r="AA43" s="63"/>
      <c r="AB43" s="9"/>
      <c r="AC43" s="6"/>
      <c r="AD43" s="72"/>
      <c r="AE43" s="6"/>
      <c r="AF43" s="6"/>
      <c r="AG43" s="80"/>
    </row>
    <row r="44" spans="1:33" s="1" customFormat="1" ht="20.100000000000001" customHeight="1" x14ac:dyDescent="0.25">
      <c r="A44" s="150"/>
      <c r="B44" s="6" t="s">
        <v>22</v>
      </c>
      <c r="C44" s="6" t="s">
        <v>23</v>
      </c>
      <c r="D44" s="6"/>
      <c r="E44" s="6" t="s">
        <v>12</v>
      </c>
      <c r="F44" s="6" t="s">
        <v>13</v>
      </c>
      <c r="G44" s="6">
        <v>1.2030000000000001</v>
      </c>
      <c r="H44" s="75">
        <v>4.6383287021959481</v>
      </c>
      <c r="I44" s="7">
        <v>36.284657796378582</v>
      </c>
      <c r="J44" s="8">
        <f t="shared" si="0"/>
        <v>7.7325382196062956E-2</v>
      </c>
      <c r="K44" s="9">
        <v>0.51139760000000001</v>
      </c>
      <c r="L44" s="6">
        <v>7</v>
      </c>
      <c r="M44" s="7">
        <v>-24.079651679956847</v>
      </c>
      <c r="N44" s="9">
        <f t="shared" si="1"/>
        <v>0.51078683378880152</v>
      </c>
      <c r="O44" s="7">
        <f t="shared" si="2"/>
        <v>-5.8117781891497966</v>
      </c>
      <c r="P44" s="10">
        <v>2.9227211533872529E-2</v>
      </c>
      <c r="Q44" s="7">
        <v>2.4060121500372422</v>
      </c>
      <c r="R44" s="11">
        <f>0.142*P44/Q44</f>
        <v>1.7249555609042365E-3</v>
      </c>
      <c r="S44" s="9">
        <v>0.28183279999999999</v>
      </c>
      <c r="T44" s="6">
        <v>5</v>
      </c>
      <c r="U44" s="7">
        <v>-33.672224481496869</v>
      </c>
      <c r="V44" s="9">
        <f>S44-R44*(EXP(0.01867*G44)-1)</f>
        <v>0.28179361912650608</v>
      </c>
      <c r="W44" s="7">
        <f>((S44-R44*(EXP(0.01867*G44)-1))/(0.282785-0.0336*(EXP(0.01867*G44)-1)) -1)*10000</f>
        <v>-8.0910742756112874</v>
      </c>
      <c r="X44" s="84">
        <f>W44-((1.39*O44)+2.29)</f>
        <v>-2.3027025926930706</v>
      </c>
      <c r="Y44" s="7"/>
      <c r="Z44" s="7"/>
      <c r="AA44" s="27"/>
      <c r="AB44" s="9"/>
      <c r="AC44" s="6"/>
      <c r="AD44" s="28"/>
      <c r="AE44" s="6"/>
      <c r="AF44" s="6"/>
      <c r="AG44" s="80"/>
    </row>
    <row r="45" spans="1:33" s="1" customFormat="1" ht="20.100000000000001" customHeight="1" x14ac:dyDescent="0.25">
      <c r="A45" s="150"/>
      <c r="B45" s="6" t="s">
        <v>24</v>
      </c>
      <c r="C45" s="6" t="s">
        <v>25</v>
      </c>
      <c r="D45" s="6"/>
      <c r="E45" s="6" t="s">
        <v>12</v>
      </c>
      <c r="F45" s="6" t="s">
        <v>13</v>
      </c>
      <c r="G45" s="6">
        <v>1.204</v>
      </c>
      <c r="H45" s="75">
        <v>10.244696620131913</v>
      </c>
      <c r="I45" s="7">
        <v>92.481154767888711</v>
      </c>
      <c r="J45" s="8">
        <f t="shared" si="0"/>
        <v>6.7008429999292365E-2</v>
      </c>
      <c r="K45" s="9">
        <v>0.5112935999999999</v>
      </c>
      <c r="L45" s="6">
        <v>8</v>
      </c>
      <c r="M45" s="7">
        <v>-26.10839744690341</v>
      </c>
      <c r="N45" s="9">
        <f t="shared" si="1"/>
        <v>0.51076388209605017</v>
      </c>
      <c r="O45" s="7">
        <f t="shared" si="2"/>
        <v>-6.235593747576651</v>
      </c>
      <c r="P45" s="10">
        <v>5.4901468015647839E-2</v>
      </c>
      <c r="Q45" s="7">
        <v>13.029801120505875</v>
      </c>
      <c r="R45" s="11">
        <f>0.142*P45/Q45</f>
        <v>5.9832137007470435E-4</v>
      </c>
      <c r="S45" s="9">
        <v>0.28174180000000004</v>
      </c>
      <c r="T45" s="6">
        <v>7</v>
      </c>
      <c r="U45" s="7">
        <v>-36.890216949271306</v>
      </c>
      <c r="V45" s="9">
        <f>S45-R45*(EXP(0.01867*G45)-1)</f>
        <v>0.28172819822312323</v>
      </c>
      <c r="W45" s="7">
        <f>((S45-R45*(EXP(0.01867*G45)-1))/(0.282785-0.0336*(EXP(0.01867*G45)-1)) -1)*10000</f>
        <v>-10.388059893201573</v>
      </c>
      <c r="X45" s="84">
        <f>W45-((1.39*O45)+2.29)</f>
        <v>-4.0105845840700285</v>
      </c>
      <c r="Y45" s="7"/>
      <c r="Z45" s="7"/>
      <c r="AA45" s="27"/>
      <c r="AB45" s="9"/>
      <c r="AC45" s="6"/>
      <c r="AD45" s="28"/>
      <c r="AE45" s="6"/>
      <c r="AF45" s="6"/>
      <c r="AG45" s="80"/>
    </row>
    <row r="46" spans="1:33" ht="20.100000000000001" customHeight="1" x14ac:dyDescent="0.25">
      <c r="A46" s="150"/>
      <c r="B46" s="17" t="s">
        <v>26</v>
      </c>
      <c r="C46" s="29" t="s">
        <v>27</v>
      </c>
      <c r="D46" s="17"/>
      <c r="E46" s="17" t="s">
        <v>12</v>
      </c>
      <c r="F46" s="17" t="s">
        <v>28</v>
      </c>
      <c r="G46" s="17">
        <v>1.22</v>
      </c>
      <c r="H46" s="76">
        <v>5.0999999999999996</v>
      </c>
      <c r="I46" s="18">
        <v>52</v>
      </c>
      <c r="J46" s="19">
        <f t="shared" si="0"/>
        <v>5.932673076923077E-2</v>
      </c>
      <c r="K46" s="20">
        <v>0.51117699999999999</v>
      </c>
      <c r="L46" s="17"/>
      <c r="M46" s="17"/>
      <c r="N46" s="20">
        <f t="shared" si="1"/>
        <v>0.51070175044119426</v>
      </c>
      <c r="O46" s="18">
        <f t="shared" si="2"/>
        <v>-7.0470784586396107</v>
      </c>
      <c r="P46" s="17"/>
      <c r="Q46" s="18"/>
      <c r="R46" s="17"/>
      <c r="S46" s="20"/>
      <c r="T46" s="17"/>
      <c r="U46" s="17"/>
      <c r="V46" s="20"/>
      <c r="W46" s="17"/>
      <c r="X46" s="85"/>
      <c r="Y46" s="30">
        <v>140</v>
      </c>
      <c r="Z46" s="30">
        <v>402</v>
      </c>
      <c r="AA46" s="23">
        <f t="shared" ref="AA46:AA54" si="9">(Y46/Z46)*(2.6939+0.2832*AB46)</f>
        <v>1.0095220861293535</v>
      </c>
      <c r="AB46" s="20">
        <v>0.72341299999999997</v>
      </c>
      <c r="AC46" s="17"/>
      <c r="AD46" s="25">
        <f t="shared" ref="AD46:AD54" si="10">AB46-AA46*(EXP(0.01397*G46)-1)</f>
        <v>0.70605985302082241</v>
      </c>
      <c r="AE46" s="17"/>
      <c r="AF46" s="17"/>
    </row>
    <row r="47" spans="1:33" ht="20.100000000000001" customHeight="1" x14ac:dyDescent="0.25">
      <c r="A47" s="150"/>
      <c r="B47" s="17" t="s">
        <v>26</v>
      </c>
      <c r="C47" s="17" t="s">
        <v>29</v>
      </c>
      <c r="D47" s="17"/>
      <c r="E47" s="17" t="s">
        <v>12</v>
      </c>
      <c r="F47" s="17" t="s">
        <v>28</v>
      </c>
      <c r="G47" s="17">
        <v>1.22</v>
      </c>
      <c r="H47" s="76"/>
      <c r="I47" s="18"/>
      <c r="J47" s="19"/>
      <c r="K47" s="20"/>
      <c r="L47" s="17"/>
      <c r="M47" s="17"/>
      <c r="N47" s="20"/>
      <c r="O47" s="18"/>
      <c r="P47" s="17"/>
      <c r="Q47" s="18"/>
      <c r="R47" s="17"/>
      <c r="S47" s="20"/>
      <c r="T47" s="17"/>
      <c r="U47" s="17"/>
      <c r="V47" s="20"/>
      <c r="W47" s="17"/>
      <c r="X47" s="85"/>
      <c r="Y47" s="18">
        <v>240</v>
      </c>
      <c r="Z47" s="18">
        <v>270</v>
      </c>
      <c r="AA47" s="23">
        <f t="shared" si="9"/>
        <v>2.5832529180444443</v>
      </c>
      <c r="AB47" s="20">
        <v>0.74950399999999995</v>
      </c>
      <c r="AC47" s="17"/>
      <c r="AD47" s="25">
        <f t="shared" si="10"/>
        <v>0.70509925820471175</v>
      </c>
      <c r="AE47" s="17"/>
      <c r="AF47" s="17"/>
    </row>
    <row r="48" spans="1:33" ht="20.100000000000001" customHeight="1" x14ac:dyDescent="0.25">
      <c r="A48" s="150"/>
      <c r="B48" s="17" t="s">
        <v>26</v>
      </c>
      <c r="C48" s="17" t="s">
        <v>30</v>
      </c>
      <c r="D48" s="17"/>
      <c r="E48" s="17" t="s">
        <v>12</v>
      </c>
      <c r="F48" s="17" t="s">
        <v>28</v>
      </c>
      <c r="G48" s="17">
        <v>1.22</v>
      </c>
      <c r="H48" s="76">
        <v>14.4</v>
      </c>
      <c r="I48" s="18">
        <v>145</v>
      </c>
      <c r="J48" s="19">
        <f>0.6049*H48/I48</f>
        <v>6.0072827586206905E-2</v>
      </c>
      <c r="K48" s="20">
        <v>0.51115699999999997</v>
      </c>
      <c r="L48" s="17"/>
      <c r="M48" s="17"/>
      <c r="N48" s="20">
        <f>K48-J48*(EXP(0.00654*G48)-1)</f>
        <v>0.51067577367189487</v>
      </c>
      <c r="O48" s="18">
        <f>((K48-J48*(EXP(0.00654*G48)-1))/(0.512632-0.196*(EXP(0.00654*G48)-1)) -1)*10000</f>
        <v>-7.555368536826812</v>
      </c>
      <c r="P48" s="17"/>
      <c r="Q48" s="18"/>
      <c r="R48" s="17"/>
      <c r="S48" s="20"/>
      <c r="T48" s="17"/>
      <c r="U48" s="17"/>
      <c r="V48" s="20"/>
      <c r="W48" s="17"/>
      <c r="X48" s="85"/>
      <c r="Y48" s="18">
        <v>160</v>
      </c>
      <c r="Z48" s="18">
        <v>821</v>
      </c>
      <c r="AA48" s="23">
        <f t="shared" si="9"/>
        <v>0.5644737574665043</v>
      </c>
      <c r="AB48" s="20">
        <v>0.71523999999999999</v>
      </c>
      <c r="AC48" s="17"/>
      <c r="AD48" s="25">
        <f t="shared" si="10"/>
        <v>0.70553699675342241</v>
      </c>
      <c r="AE48" s="17"/>
      <c r="AF48" s="17"/>
    </row>
    <row r="49" spans="1:33" ht="20.100000000000001" customHeight="1" x14ac:dyDescent="0.25">
      <c r="A49" s="150"/>
      <c r="B49" s="17" t="s">
        <v>26</v>
      </c>
      <c r="C49" s="17" t="s">
        <v>31</v>
      </c>
      <c r="D49" s="17"/>
      <c r="E49" s="17" t="s">
        <v>12</v>
      </c>
      <c r="F49" s="17" t="s">
        <v>28</v>
      </c>
      <c r="G49" s="17">
        <v>1.22</v>
      </c>
      <c r="H49" s="76">
        <v>28.1</v>
      </c>
      <c r="I49" s="18">
        <v>303</v>
      </c>
      <c r="J49" s="19">
        <f>0.6049*H49/I49</f>
        <v>5.6097986798679875E-2</v>
      </c>
      <c r="K49" s="20">
        <v>0.51111200000000001</v>
      </c>
      <c r="L49" s="17"/>
      <c r="M49" s="17"/>
      <c r="N49" s="20">
        <f>K49-J49*(EXP(0.00654*G49)-1)</f>
        <v>0.51066261499040511</v>
      </c>
      <c r="O49" s="18">
        <f>((K49-J49*(EXP(0.00654*G49)-1))/(0.512632-0.196*(EXP(0.00654*G49)-1)) -1)*10000</f>
        <v>-7.8128457914539151</v>
      </c>
      <c r="P49" s="17"/>
      <c r="Q49" s="18"/>
      <c r="R49" s="17"/>
      <c r="S49" s="20"/>
      <c r="T49" s="17"/>
      <c r="U49" s="17"/>
      <c r="V49" s="20"/>
      <c r="W49" s="17"/>
      <c r="X49" s="85"/>
      <c r="Y49" s="18">
        <v>199</v>
      </c>
      <c r="Z49" s="18">
        <v>769</v>
      </c>
      <c r="AA49" s="31">
        <f t="shared" si="9"/>
        <v>0.74973515919895972</v>
      </c>
      <c r="AB49" s="20">
        <v>0.71792999999999996</v>
      </c>
      <c r="AC49" s="17"/>
      <c r="AD49" s="32">
        <f t="shared" si="10"/>
        <v>0.70504245192968495</v>
      </c>
      <c r="AE49" s="29"/>
      <c r="AF49" s="17"/>
    </row>
    <row r="50" spans="1:33" ht="20.100000000000001" customHeight="1" x14ac:dyDescent="0.25">
      <c r="A50" s="150"/>
      <c r="B50" s="17" t="s">
        <v>26</v>
      </c>
      <c r="C50" s="17" t="s">
        <v>32</v>
      </c>
      <c r="D50" s="17"/>
      <c r="E50" s="17" t="s">
        <v>12</v>
      </c>
      <c r="F50" s="17" t="s">
        <v>28</v>
      </c>
      <c r="G50" s="17">
        <v>1.22</v>
      </c>
      <c r="H50" s="76"/>
      <c r="I50" s="18"/>
      <c r="J50" s="19"/>
      <c r="K50" s="20"/>
      <c r="L50" s="17"/>
      <c r="M50" s="17"/>
      <c r="N50" s="20"/>
      <c r="O50" s="18"/>
      <c r="P50" s="17"/>
      <c r="Q50" s="18"/>
      <c r="R50" s="17"/>
      <c r="S50" s="20"/>
      <c r="T50" s="17"/>
      <c r="U50" s="17"/>
      <c r="V50" s="20"/>
      <c r="W50" s="17"/>
      <c r="X50" s="85"/>
      <c r="Y50" s="18">
        <v>93</v>
      </c>
      <c r="Z50" s="18">
        <v>1325</v>
      </c>
      <c r="AA50" s="31">
        <f t="shared" si="9"/>
        <v>0.20316343123200004</v>
      </c>
      <c r="AB50" s="20">
        <v>0.708449</v>
      </c>
      <c r="AC50" s="17"/>
      <c r="AD50" s="32">
        <f t="shared" si="10"/>
        <v>0.70495672882396232</v>
      </c>
      <c r="AE50" s="17"/>
      <c r="AF50" s="17"/>
    </row>
    <row r="51" spans="1:33" ht="20.100000000000001" customHeight="1" x14ac:dyDescent="0.25">
      <c r="A51" s="150"/>
      <c r="B51" s="17" t="s">
        <v>26</v>
      </c>
      <c r="C51" s="17" t="s">
        <v>33</v>
      </c>
      <c r="D51" s="17"/>
      <c r="E51" s="17" t="s">
        <v>12</v>
      </c>
      <c r="F51" s="17" t="s">
        <v>28</v>
      </c>
      <c r="G51" s="17">
        <v>1.22</v>
      </c>
      <c r="H51" s="76"/>
      <c r="I51" s="18"/>
      <c r="J51" s="19"/>
      <c r="K51" s="20"/>
      <c r="L51" s="17"/>
      <c r="M51" s="17"/>
      <c r="N51" s="20"/>
      <c r="O51" s="18"/>
      <c r="P51" s="17"/>
      <c r="Q51" s="18"/>
      <c r="R51" s="17"/>
      <c r="S51" s="20"/>
      <c r="T51" s="17"/>
      <c r="U51" s="17"/>
      <c r="V51" s="20"/>
      <c r="W51" s="17"/>
      <c r="X51" s="85"/>
      <c r="Y51" s="18">
        <v>104</v>
      </c>
      <c r="Z51" s="18">
        <v>858</v>
      </c>
      <c r="AA51" s="23">
        <f t="shared" si="9"/>
        <v>0.35096920242424245</v>
      </c>
      <c r="AB51" s="20">
        <v>0.71184999999999998</v>
      </c>
      <c r="AC51" s="29"/>
      <c r="AD51" s="25">
        <f t="shared" si="10"/>
        <v>0.70581702633997423</v>
      </c>
      <c r="AE51" s="17"/>
      <c r="AF51" s="17"/>
    </row>
    <row r="52" spans="1:33" ht="20.100000000000001" customHeight="1" x14ac:dyDescent="0.25">
      <c r="A52" s="150"/>
      <c r="B52" s="17" t="s">
        <v>26</v>
      </c>
      <c r="C52" s="17" t="s">
        <v>34</v>
      </c>
      <c r="D52" s="17"/>
      <c r="E52" s="17" t="s">
        <v>12</v>
      </c>
      <c r="F52" s="17" t="s">
        <v>28</v>
      </c>
      <c r="G52" s="17">
        <v>1.22</v>
      </c>
      <c r="H52" s="76">
        <v>22.2</v>
      </c>
      <c r="I52" s="18">
        <v>202</v>
      </c>
      <c r="J52" s="19">
        <f>0.6049*H52/I52</f>
        <v>6.6479108910891094E-2</v>
      </c>
      <c r="K52" s="20">
        <v>0.51111200000000001</v>
      </c>
      <c r="L52" s="17"/>
      <c r="M52" s="17"/>
      <c r="N52" s="20">
        <f>K52-J52*(EXP(0.00654*G52)-1)</f>
        <v>0.51057945477510647</v>
      </c>
      <c r="O52" s="18">
        <f>((K52-J52*(EXP(0.00654*G52)-1))/(0.512632-0.196*(EXP(0.00654*G52)-1)) -1)*10000</f>
        <v>-9.4400501542879489</v>
      </c>
      <c r="P52" s="17"/>
      <c r="Q52" s="18"/>
      <c r="R52" s="17"/>
      <c r="S52" s="20"/>
      <c r="T52" s="17"/>
      <c r="U52" s="17"/>
      <c r="V52" s="20"/>
      <c r="W52" s="17"/>
      <c r="X52" s="85"/>
      <c r="Y52" s="30">
        <v>274</v>
      </c>
      <c r="Z52" s="30">
        <v>2225</v>
      </c>
      <c r="AA52" s="23">
        <f t="shared" si="9"/>
        <v>0.35650448682858432</v>
      </c>
      <c r="AB52" s="20">
        <v>0.71000200000000002</v>
      </c>
      <c r="AC52" s="17"/>
      <c r="AD52" s="25">
        <f t="shared" si="10"/>
        <v>0.70387387774921051</v>
      </c>
      <c r="AE52" s="29"/>
      <c r="AF52" s="17"/>
    </row>
    <row r="53" spans="1:33" ht="20.100000000000001" customHeight="1" x14ac:dyDescent="0.25">
      <c r="A53" s="150"/>
      <c r="B53" s="17" t="s">
        <v>24</v>
      </c>
      <c r="C53" s="17">
        <v>16.02</v>
      </c>
      <c r="D53" s="17"/>
      <c r="E53" s="17" t="s">
        <v>12</v>
      </c>
      <c r="F53" s="17" t="s">
        <v>14</v>
      </c>
      <c r="G53" s="17">
        <v>1.2</v>
      </c>
      <c r="H53" s="76">
        <v>12.74</v>
      </c>
      <c r="I53" s="18">
        <v>108.8</v>
      </c>
      <c r="J53" s="19">
        <f>0.6049*H53/I53</f>
        <v>7.0831121323529422E-2</v>
      </c>
      <c r="K53" s="20">
        <v>0.51128399999999996</v>
      </c>
      <c r="L53" s="17">
        <v>7</v>
      </c>
      <c r="M53" s="17"/>
      <c r="N53" s="20">
        <f>K53-J53*(EXP(0.00654*G53)-1)</f>
        <v>0.51072593035892211</v>
      </c>
      <c r="O53" s="18">
        <f>((K53-J53*(EXP(0.00654*G53)-1))/(0.512632-0.196*(EXP(0.00654*G53)-1)) -1)*10000</f>
        <v>-7.0792128899732631</v>
      </c>
      <c r="P53" s="17"/>
      <c r="Q53" s="18"/>
      <c r="R53" s="17"/>
      <c r="S53" s="20"/>
      <c r="T53" s="17"/>
      <c r="U53" s="17"/>
      <c r="V53" s="20"/>
      <c r="W53" s="17"/>
      <c r="X53" s="85"/>
      <c r="Y53" s="18">
        <v>109.4</v>
      </c>
      <c r="Z53" s="18">
        <v>648.04999999999995</v>
      </c>
      <c r="AA53" s="23">
        <f t="shared" si="9"/>
        <v>0.48884074934514327</v>
      </c>
      <c r="AB53" s="20">
        <v>0.71268900000000002</v>
      </c>
      <c r="AC53" s="17">
        <v>8</v>
      </c>
      <c r="AD53" s="25">
        <f t="shared" si="10"/>
        <v>0.70442499835246175</v>
      </c>
      <c r="AE53" s="17"/>
      <c r="AF53" s="17"/>
      <c r="AG53" s="79"/>
    </row>
    <row r="54" spans="1:33" s="86" customFormat="1" ht="20.100000000000001" customHeight="1" thickBot="1" x14ac:dyDescent="0.3">
      <c r="A54" s="151"/>
      <c r="B54" s="64" t="s">
        <v>24</v>
      </c>
      <c r="C54" s="64">
        <v>16.12</v>
      </c>
      <c r="D54" s="64"/>
      <c r="E54" s="64" t="s">
        <v>12</v>
      </c>
      <c r="F54" s="64" t="s">
        <v>14</v>
      </c>
      <c r="G54" s="64">
        <v>1.2</v>
      </c>
      <c r="H54" s="77">
        <v>11.12</v>
      </c>
      <c r="I54" s="65">
        <v>98.2</v>
      </c>
      <c r="J54" s="66">
        <f>0.6049*H54/I54</f>
        <v>6.8497841140529522E-2</v>
      </c>
      <c r="K54" s="67">
        <v>0.51125600000000004</v>
      </c>
      <c r="L54" s="64">
        <v>8</v>
      </c>
      <c r="M54" s="64"/>
      <c r="N54" s="67">
        <f>K54-J54*(EXP(0.00654*G54)-1)</f>
        <v>0.51071631398479078</v>
      </c>
      <c r="O54" s="65">
        <f>((K54-J54*(EXP(0.00654*G54)-1))/(0.512632-0.196*(EXP(0.00654*G54)-1)) -1)*10000</f>
        <v>-7.2673679438706174</v>
      </c>
      <c r="P54" s="64"/>
      <c r="Q54" s="65"/>
      <c r="R54" s="64"/>
      <c r="S54" s="67"/>
      <c r="T54" s="64"/>
      <c r="U54" s="64"/>
      <c r="V54" s="67"/>
      <c r="W54" s="65"/>
      <c r="X54" s="146"/>
      <c r="Y54" s="65">
        <v>210.3</v>
      </c>
      <c r="Z54" s="65">
        <v>447.08</v>
      </c>
      <c r="AA54" s="70">
        <f t="shared" si="9"/>
        <v>1.3641808572046168</v>
      </c>
      <c r="AB54" s="67">
        <v>0.72822399999999998</v>
      </c>
      <c r="AC54" s="64">
        <v>12</v>
      </c>
      <c r="AD54" s="71">
        <f t="shared" si="10"/>
        <v>0.70516210741722873</v>
      </c>
      <c r="AE54" s="64"/>
      <c r="AF54" s="64"/>
      <c r="AG54" s="82"/>
    </row>
    <row r="55" spans="1:33" s="94" customFormat="1" ht="20.100000000000001" customHeight="1" x14ac:dyDescent="0.25">
      <c r="A55" s="91"/>
      <c r="B55" s="29"/>
      <c r="C55" s="29"/>
      <c r="D55" s="29"/>
      <c r="E55" s="29"/>
      <c r="F55" s="29"/>
      <c r="G55" s="147"/>
      <c r="H55" s="148"/>
      <c r="I55" s="30"/>
      <c r="J55" s="92"/>
      <c r="K55" s="49"/>
      <c r="L55" s="29"/>
      <c r="M55" s="29"/>
      <c r="N55" s="49"/>
      <c r="O55" s="30"/>
      <c r="P55" s="29"/>
      <c r="Q55" s="30"/>
      <c r="R55" s="29"/>
      <c r="S55" s="49"/>
      <c r="T55" s="29"/>
      <c r="U55" s="29"/>
      <c r="V55" s="49"/>
      <c r="W55" s="30"/>
      <c r="X55" s="85"/>
      <c r="Y55" s="30"/>
      <c r="Z55" s="30"/>
      <c r="AA55" s="31"/>
      <c r="AB55" s="49"/>
      <c r="AC55" s="29"/>
      <c r="AD55" s="32"/>
      <c r="AE55" s="29"/>
      <c r="AF55" s="29"/>
      <c r="AG55" s="93"/>
    </row>
    <row r="56" spans="1:33" x14ac:dyDescent="0.25">
      <c r="A56" s="55" t="s">
        <v>83</v>
      </c>
    </row>
    <row r="57" spans="1:33" x14ac:dyDescent="0.25">
      <c r="A57" s="55"/>
    </row>
    <row r="58" spans="1:33" ht="18" x14ac:dyDescent="0.25">
      <c r="A58" s="55" t="s">
        <v>76</v>
      </c>
      <c r="B58" s="55"/>
    </row>
    <row r="59" spans="1:33" ht="18" x14ac:dyDescent="0.25">
      <c r="A59" s="90" t="s">
        <v>77</v>
      </c>
      <c r="B59" s="55" t="s">
        <v>73</v>
      </c>
      <c r="C59" s="55"/>
    </row>
    <row r="60" spans="1:33" ht="18" x14ac:dyDescent="0.25">
      <c r="A60" s="55" t="s">
        <v>78</v>
      </c>
      <c r="B60" s="55"/>
    </row>
    <row r="61" spans="1:33" ht="18" x14ac:dyDescent="0.25">
      <c r="A61" s="90" t="s">
        <v>79</v>
      </c>
      <c r="B61" s="55" t="s">
        <v>80</v>
      </c>
    </row>
    <row r="62" spans="1:33" ht="18" x14ac:dyDescent="0.25">
      <c r="A62" s="55" t="s">
        <v>81</v>
      </c>
      <c r="B62" s="55"/>
    </row>
    <row r="63" spans="1:33" ht="18" x14ac:dyDescent="0.25">
      <c r="A63" s="90" t="s">
        <v>82</v>
      </c>
      <c r="B63" s="55" t="s">
        <v>74</v>
      </c>
    </row>
    <row r="64" spans="1:33" x14ac:dyDescent="0.25">
      <c r="A64" s="90"/>
      <c r="B64" s="55"/>
    </row>
    <row r="65" spans="1:1" ht="19.5" x14ac:dyDescent="0.35">
      <c r="A65" s="55" t="s">
        <v>84</v>
      </c>
    </row>
    <row r="66" spans="1:1" x14ac:dyDescent="0.25">
      <c r="A66" s="55"/>
    </row>
    <row r="67" spans="1:1" ht="18.75" x14ac:dyDescent="0.35">
      <c r="A67" s="55" t="s">
        <v>85</v>
      </c>
    </row>
  </sheetData>
  <autoFilter ref="B2:AG54" xr:uid="{0D3B00FB-1E83-47F6-A8D0-93D8D25F5A4E}"/>
  <mergeCells count="3">
    <mergeCell ref="A3:A29"/>
    <mergeCell ref="A30:A42"/>
    <mergeCell ref="A43:A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06AFB-7A83-4035-BB54-EC9886C49E08}">
  <dimension ref="A1:N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XFD1"/>
    </sheetView>
  </sheetViews>
  <sheetFormatPr defaultRowHeight="15" x14ac:dyDescent="0.25"/>
  <cols>
    <col min="1" max="1" width="24.42578125" bestFit="1" customWidth="1"/>
    <col min="2" max="2" width="15.5703125" customWidth="1"/>
    <col min="4" max="4" width="13.85546875" customWidth="1"/>
    <col min="5" max="5" width="15.140625" customWidth="1"/>
    <col min="7" max="7" width="14" customWidth="1"/>
    <col min="8" max="8" width="16.140625" customWidth="1"/>
  </cols>
  <sheetData>
    <row r="1" spans="1:14" s="102" customFormat="1" ht="28.5" x14ac:dyDescent="0.45">
      <c r="A1" s="101" t="s">
        <v>89</v>
      </c>
      <c r="D1" s="103"/>
      <c r="G1" s="103"/>
    </row>
    <row r="2" spans="1:14" ht="21" x14ac:dyDescent="0.3">
      <c r="A2" s="96" t="s">
        <v>3</v>
      </c>
      <c r="B2" s="97" t="s">
        <v>62</v>
      </c>
      <c r="C2" s="98" t="s">
        <v>8</v>
      </c>
      <c r="D2" s="100" t="s">
        <v>60</v>
      </c>
      <c r="E2" s="97" t="s">
        <v>66</v>
      </c>
      <c r="F2" s="98" t="s">
        <v>8</v>
      </c>
      <c r="G2" s="100" t="s">
        <v>59</v>
      </c>
      <c r="H2" s="97" t="s">
        <v>70</v>
      </c>
      <c r="I2" s="98" t="s">
        <v>0</v>
      </c>
      <c r="L2" s="95"/>
      <c r="M2" s="95"/>
      <c r="N2" s="99"/>
    </row>
    <row r="3" spans="1:14" x14ac:dyDescent="0.25">
      <c r="A3" s="152" t="s">
        <v>86</v>
      </c>
      <c r="B3" s="109">
        <v>0.51262618181818176</v>
      </c>
      <c r="C3" s="110">
        <v>13</v>
      </c>
      <c r="D3" s="141">
        <f>((B3/0.51263)-1)*10000</f>
        <v>-7.448221559958057E-2</v>
      </c>
      <c r="E3" s="109">
        <v>0.28287573590000004</v>
      </c>
      <c r="F3" s="112">
        <v>8</v>
      </c>
      <c r="G3" s="111">
        <v>3.6685350741949563</v>
      </c>
      <c r="H3" s="110">
        <v>0.70500099999999999</v>
      </c>
      <c r="I3" s="110">
        <v>14</v>
      </c>
      <c r="L3" s="95"/>
      <c r="M3" s="95"/>
      <c r="N3" s="95"/>
    </row>
    <row r="4" spans="1:14" x14ac:dyDescent="0.25">
      <c r="A4" s="152"/>
      <c r="B4" s="109">
        <v>0.51262549999999996</v>
      </c>
      <c r="C4" s="112">
        <v>10</v>
      </c>
      <c r="D4" s="141">
        <f t="shared" ref="D4:D10" si="0">((B4/0.51263)-1)*10000</f>
        <v>-8.7782611241093988E-2</v>
      </c>
      <c r="E4" s="109">
        <v>0.28286966666666674</v>
      </c>
      <c r="F4" s="112">
        <v>9</v>
      </c>
      <c r="G4" s="113">
        <v>3.45390161213599</v>
      </c>
      <c r="H4" s="109">
        <v>0.70501374999999999</v>
      </c>
      <c r="I4" s="110">
        <v>15</v>
      </c>
      <c r="L4" s="95"/>
      <c r="M4" s="95"/>
      <c r="N4" s="95"/>
    </row>
    <row r="5" spans="1:14" x14ac:dyDescent="0.25">
      <c r="A5" s="152"/>
      <c r="B5" s="109">
        <v>0.51263449999999988</v>
      </c>
      <c r="C5" s="112">
        <v>11</v>
      </c>
      <c r="D5" s="141">
        <f t="shared" si="0"/>
        <v>8.7782611237763319E-2</v>
      </c>
      <c r="E5" s="110">
        <v>0.28286600000000001</v>
      </c>
      <c r="F5" s="110">
        <v>7</v>
      </c>
      <c r="G5" s="111">
        <v>3.3242329509275415</v>
      </c>
      <c r="H5" s="114"/>
      <c r="I5" s="110"/>
      <c r="L5" s="95"/>
      <c r="M5" s="95"/>
      <c r="N5" s="95"/>
    </row>
    <row r="6" spans="1:14" x14ac:dyDescent="0.25">
      <c r="A6" s="152"/>
      <c r="B6" s="112">
        <v>0.51262299999999994</v>
      </c>
      <c r="C6" s="112">
        <v>11</v>
      </c>
      <c r="D6" s="141">
        <f t="shared" si="0"/>
        <v>-0.13655072859775075</v>
      </c>
      <c r="E6" s="114"/>
      <c r="F6" s="110"/>
      <c r="G6" s="115"/>
      <c r="H6" s="114"/>
      <c r="I6" s="110"/>
      <c r="L6" s="95"/>
      <c r="M6" s="95"/>
      <c r="N6" s="95"/>
    </row>
    <row r="7" spans="1:14" x14ac:dyDescent="0.25">
      <c r="A7" s="152"/>
      <c r="B7" s="112">
        <v>0.51263299999999989</v>
      </c>
      <c r="C7" s="112">
        <v>14</v>
      </c>
      <c r="D7" s="141">
        <f t="shared" si="0"/>
        <v>5.8521740824435398E-2</v>
      </c>
      <c r="E7" s="114"/>
      <c r="F7" s="110"/>
      <c r="G7" s="115"/>
      <c r="H7" s="114"/>
      <c r="I7" s="110"/>
      <c r="L7" s="95"/>
      <c r="M7" s="95"/>
      <c r="N7" s="95"/>
    </row>
    <row r="8" spans="1:14" x14ac:dyDescent="0.25">
      <c r="A8" s="152"/>
      <c r="B8" s="110">
        <v>0.51260899999999987</v>
      </c>
      <c r="C8" s="110">
        <v>14</v>
      </c>
      <c r="D8" s="141">
        <f t="shared" si="0"/>
        <v>-0.40965218578992157</v>
      </c>
      <c r="E8" s="114"/>
      <c r="F8" s="110"/>
      <c r="G8" s="115"/>
      <c r="H8" s="114"/>
      <c r="I8" s="110"/>
      <c r="L8" s="95"/>
      <c r="M8" s="95"/>
      <c r="N8" s="95"/>
    </row>
    <row r="9" spans="1:14" x14ac:dyDescent="0.25">
      <c r="A9" s="104"/>
      <c r="B9" s="112"/>
      <c r="C9" s="112"/>
      <c r="D9" s="113"/>
      <c r="E9" s="114"/>
      <c r="F9" s="110"/>
      <c r="G9" s="115"/>
      <c r="H9" s="114"/>
      <c r="I9" s="110"/>
      <c r="L9" s="95"/>
      <c r="M9" s="95"/>
      <c r="N9" s="95"/>
    </row>
    <row r="10" spans="1:14" ht="15.75" thickBot="1" x14ac:dyDescent="0.3">
      <c r="A10" s="108" t="s">
        <v>90</v>
      </c>
      <c r="B10" s="116">
        <v>0.51263700000000001</v>
      </c>
      <c r="C10" s="116">
        <v>13</v>
      </c>
      <c r="D10" s="143">
        <f t="shared" si="0"/>
        <v>0.1365507285955303</v>
      </c>
      <c r="E10" s="106">
        <v>0.28286600000000001</v>
      </c>
      <c r="F10" s="107">
        <v>11</v>
      </c>
      <c r="G10" s="144">
        <v>2.8643669218664236</v>
      </c>
      <c r="H10" s="125">
        <v>0.70499999999999996</v>
      </c>
      <c r="I10" s="107">
        <v>11</v>
      </c>
      <c r="L10" s="95"/>
      <c r="M10" s="95"/>
      <c r="N10" s="95"/>
    </row>
    <row r="11" spans="1:14" ht="16.5" thickTop="1" thickBot="1" x14ac:dyDescent="0.3">
      <c r="A11" s="154"/>
      <c r="B11" s="154"/>
      <c r="C11" s="154"/>
      <c r="D11" s="155"/>
      <c r="E11" s="153"/>
      <c r="F11" s="154"/>
      <c r="G11" s="155"/>
      <c r="H11" s="117"/>
      <c r="I11" s="117"/>
      <c r="L11" s="95"/>
      <c r="M11" s="95"/>
      <c r="N11" s="95"/>
    </row>
    <row r="12" spans="1:14" ht="15.75" thickTop="1" x14ac:dyDescent="0.25">
      <c r="A12" s="156" t="s">
        <v>88</v>
      </c>
      <c r="B12" s="109">
        <v>0.51211918181818172</v>
      </c>
      <c r="C12" s="110">
        <v>12</v>
      </c>
      <c r="D12" s="141">
        <f t="shared" ref="D12:D16" si="1">((B12/0.51263)-1)*10000</f>
        <v>-9.9646564153155204</v>
      </c>
      <c r="E12" s="118"/>
      <c r="F12" s="119"/>
      <c r="G12" s="120"/>
      <c r="H12" s="121"/>
      <c r="I12" s="122"/>
      <c r="L12" s="95"/>
      <c r="M12" s="95"/>
      <c r="N12" s="95"/>
    </row>
    <row r="13" spans="1:14" x14ac:dyDescent="0.25">
      <c r="A13" s="152"/>
      <c r="B13" s="4">
        <v>0.51213500000000001</v>
      </c>
      <c r="C13" s="112">
        <v>13</v>
      </c>
      <c r="D13" s="141">
        <f t="shared" si="1"/>
        <v>-9.6560872364093164</v>
      </c>
      <c r="E13" s="123"/>
      <c r="F13" s="109"/>
      <c r="G13" s="124"/>
      <c r="H13" s="114"/>
      <c r="I13" s="110"/>
      <c r="L13" s="95"/>
      <c r="M13" s="95"/>
      <c r="N13" s="95"/>
    </row>
    <row r="14" spans="1:14" x14ac:dyDescent="0.25">
      <c r="A14" s="152"/>
      <c r="B14" s="112">
        <v>0.51211300000000004</v>
      </c>
      <c r="C14" s="112">
        <v>15</v>
      </c>
      <c r="D14" s="141">
        <f t="shared" si="1"/>
        <v>-10.085246669137016</v>
      </c>
      <c r="E14" s="123"/>
      <c r="F14" s="109"/>
      <c r="G14" s="124"/>
      <c r="H14" s="114"/>
      <c r="I14" s="110"/>
      <c r="L14" s="95"/>
      <c r="M14" s="95"/>
      <c r="N14" s="95"/>
    </row>
    <row r="15" spans="1:14" x14ac:dyDescent="0.25">
      <c r="A15" s="152"/>
      <c r="B15" s="112">
        <v>0.51210399999999989</v>
      </c>
      <c r="C15" s="112">
        <v>10</v>
      </c>
      <c r="D15" s="141">
        <f t="shared" si="1"/>
        <v>-10.260811891620314</v>
      </c>
      <c r="E15" s="123"/>
      <c r="F15" s="109"/>
      <c r="G15" s="124"/>
      <c r="H15" s="114"/>
      <c r="I15" s="110"/>
      <c r="L15" s="95"/>
      <c r="M15" s="95"/>
      <c r="N15" s="95"/>
    </row>
    <row r="16" spans="1:14" x14ac:dyDescent="0.25">
      <c r="A16" s="152"/>
      <c r="B16" s="109">
        <v>0.51210849999999997</v>
      </c>
      <c r="C16" s="112">
        <v>14</v>
      </c>
      <c r="D16" s="141">
        <f t="shared" si="1"/>
        <v>-10.17302928037922</v>
      </c>
      <c r="E16" s="123"/>
      <c r="F16" s="109"/>
      <c r="G16" s="124"/>
      <c r="H16" s="114"/>
      <c r="I16" s="110"/>
      <c r="L16" s="95"/>
      <c r="M16" s="95"/>
      <c r="N16" s="95"/>
    </row>
    <row r="17" spans="1:14" x14ac:dyDescent="0.25">
      <c r="A17" s="104"/>
      <c r="B17" s="112"/>
      <c r="C17" s="112"/>
      <c r="D17" s="113"/>
      <c r="E17" s="123"/>
      <c r="F17" s="109"/>
      <c r="G17" s="124"/>
      <c r="H17" s="114"/>
      <c r="I17" s="110"/>
      <c r="L17" s="95"/>
      <c r="M17" s="95"/>
      <c r="N17" s="95"/>
    </row>
    <row r="18" spans="1:14" ht="15.75" thickBot="1" x14ac:dyDescent="0.3">
      <c r="A18" s="108" t="s">
        <v>91</v>
      </c>
      <c r="B18" s="116">
        <v>0.51211700000000004</v>
      </c>
      <c r="C18" s="116">
        <v>7</v>
      </c>
      <c r="D18" s="143">
        <f t="shared" ref="D18" si="2">((B18/0.51263)-1)*10000</f>
        <v>-10.007217681368141</v>
      </c>
      <c r="E18" s="125"/>
      <c r="F18" s="127"/>
      <c r="G18" s="128"/>
      <c r="H18" s="106"/>
      <c r="I18" s="107"/>
      <c r="L18" s="95"/>
      <c r="M18" s="95"/>
      <c r="N18" s="95"/>
    </row>
    <row r="19" spans="1:14" ht="16.5" thickTop="1" thickBot="1" x14ac:dyDescent="0.3">
      <c r="A19" s="154"/>
      <c r="B19" s="154"/>
      <c r="C19" s="154"/>
      <c r="D19" s="155"/>
      <c r="E19" s="153"/>
      <c r="F19" s="154"/>
      <c r="G19" s="155"/>
      <c r="H19" s="153"/>
      <c r="I19" s="154"/>
      <c r="L19" s="95"/>
      <c r="M19" s="95"/>
      <c r="N19" s="95"/>
    </row>
    <row r="20" spans="1:14" ht="15.75" thickTop="1" x14ac:dyDescent="0.25">
      <c r="A20" s="152" t="s">
        <v>87</v>
      </c>
      <c r="B20" s="109">
        <v>0.51296675000000003</v>
      </c>
      <c r="C20" s="112">
        <v>12</v>
      </c>
      <c r="D20" s="141">
        <f t="shared" ref="D20" si="3">((B20/0.51263)-1)*10000</f>
        <v>6.56906540779989</v>
      </c>
      <c r="E20" s="110">
        <v>0.28310800000000003</v>
      </c>
      <c r="F20" s="110">
        <v>6</v>
      </c>
      <c r="G20" s="111">
        <v>11.88236459055414</v>
      </c>
      <c r="H20" s="109">
        <v>0.70346683333333326</v>
      </c>
      <c r="I20" s="110">
        <v>28</v>
      </c>
      <c r="L20" s="95"/>
      <c r="M20" s="95"/>
      <c r="N20" s="95"/>
    </row>
    <row r="21" spans="1:14" x14ac:dyDescent="0.25">
      <c r="A21" s="152"/>
      <c r="B21" s="110"/>
      <c r="C21" s="110"/>
      <c r="D21" s="142"/>
      <c r="E21" s="114"/>
      <c r="F21" s="110"/>
      <c r="G21" s="115"/>
      <c r="H21" s="109">
        <v>0.70346783333333329</v>
      </c>
      <c r="I21" s="110">
        <v>17</v>
      </c>
      <c r="L21" s="95"/>
      <c r="M21" s="95"/>
      <c r="N21" s="95"/>
    </row>
    <row r="22" spans="1:14" x14ac:dyDescent="0.25">
      <c r="D22" s="142"/>
      <c r="G22" s="115"/>
    </row>
    <row r="23" spans="1:14" x14ac:dyDescent="0.25">
      <c r="A23" s="105" t="s">
        <v>93</v>
      </c>
      <c r="B23" s="129">
        <v>0.51299399999999995</v>
      </c>
      <c r="C23" s="126">
        <v>17</v>
      </c>
      <c r="D23" s="143">
        <f t="shared" ref="D23" si="4">((B23/0.51263)-1)*10000</f>
        <v>7.100637886974237</v>
      </c>
      <c r="E23" s="130">
        <v>0.28309699999999999</v>
      </c>
      <c r="F23" s="130">
        <v>14</v>
      </c>
      <c r="G23" s="143">
        <v>11.033117032372974</v>
      </c>
      <c r="H23" s="130">
        <v>0.70346500000000001</v>
      </c>
      <c r="I23" s="126">
        <v>14</v>
      </c>
    </row>
    <row r="24" spans="1:14" x14ac:dyDescent="0.25">
      <c r="A24" s="105"/>
      <c r="B24" s="129"/>
      <c r="C24" s="126"/>
      <c r="D24" s="145"/>
      <c r="E24" s="130"/>
      <c r="F24" s="130"/>
      <c r="G24" s="145"/>
      <c r="H24" s="130"/>
      <c r="I24" s="126"/>
    </row>
    <row r="25" spans="1:14" x14ac:dyDescent="0.25">
      <c r="A25" t="s">
        <v>120</v>
      </c>
    </row>
    <row r="26" spans="1:14" x14ac:dyDescent="0.25">
      <c r="A26" s="140" t="s">
        <v>121</v>
      </c>
    </row>
    <row r="27" spans="1:14" x14ac:dyDescent="0.25">
      <c r="A27" t="s">
        <v>92</v>
      </c>
    </row>
    <row r="28" spans="1:14" x14ac:dyDescent="0.25">
      <c r="A28" t="s">
        <v>94</v>
      </c>
    </row>
    <row r="29" spans="1:14" x14ac:dyDescent="0.25">
      <c r="A29" s="131" t="s">
        <v>95</v>
      </c>
    </row>
    <row r="30" spans="1:14" x14ac:dyDescent="0.25">
      <c r="A30" s="131"/>
    </row>
  </sheetData>
  <mergeCells count="8">
    <mergeCell ref="A3:A8"/>
    <mergeCell ref="A12:A16"/>
    <mergeCell ref="A20:A21"/>
    <mergeCell ref="E11:G11"/>
    <mergeCell ref="A11:D11"/>
    <mergeCell ref="H19:I19"/>
    <mergeCell ref="E19:G19"/>
    <mergeCell ref="A19:D19"/>
  </mergeCells>
  <phoneticPr fontId="17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9A908-5AEE-49BE-B4B4-7F9A130AF502}">
  <dimension ref="A1:K2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8" sqref="O8"/>
    </sheetView>
  </sheetViews>
  <sheetFormatPr defaultRowHeight="15" x14ac:dyDescent="0.25"/>
  <cols>
    <col min="1" max="1" width="9.85546875" customWidth="1"/>
    <col min="2" max="2" width="17.5703125" customWidth="1"/>
    <col min="3" max="3" width="18" customWidth="1"/>
    <col min="4" max="4" width="17.42578125" customWidth="1"/>
    <col min="5" max="5" width="16.42578125" customWidth="1"/>
    <col min="6" max="6" width="11.42578125" customWidth="1"/>
    <col min="7" max="7" width="17" customWidth="1"/>
    <col min="8" max="8" width="19" customWidth="1"/>
    <col min="9" max="9" width="17.5703125" customWidth="1"/>
    <col min="10" max="10" width="15.28515625" customWidth="1"/>
    <col min="11" max="11" width="14.85546875" customWidth="1"/>
  </cols>
  <sheetData>
    <row r="1" spans="1:11" ht="127.5" customHeight="1" thickBot="1" x14ac:dyDescent="0.3">
      <c r="A1" s="132" t="s">
        <v>96</v>
      </c>
      <c r="B1" s="133" t="s">
        <v>106</v>
      </c>
      <c r="C1" s="133" t="s">
        <v>97</v>
      </c>
      <c r="D1" s="133" t="s">
        <v>98</v>
      </c>
      <c r="E1" s="133" t="s">
        <v>99</v>
      </c>
      <c r="F1" s="133" t="s">
        <v>100</v>
      </c>
      <c r="G1" s="133" t="s">
        <v>101</v>
      </c>
      <c r="H1" s="133" t="s">
        <v>102</v>
      </c>
      <c r="I1" s="133" t="s">
        <v>103</v>
      </c>
      <c r="J1" s="133" t="s">
        <v>104</v>
      </c>
      <c r="K1" s="133" t="s">
        <v>105</v>
      </c>
    </row>
    <row r="2" spans="1:11" x14ac:dyDescent="0.25">
      <c r="A2" s="134" t="s">
        <v>35</v>
      </c>
      <c r="B2" s="3">
        <v>4.4617693345583298</v>
      </c>
      <c r="C2" s="3">
        <v>90.601614942942064</v>
      </c>
      <c r="D2" s="3">
        <v>89.89821608333834</v>
      </c>
      <c r="E2" s="3">
        <v>48.45</v>
      </c>
      <c r="F2" s="3">
        <v>62.94287132821573</v>
      </c>
      <c r="G2" s="2">
        <v>0.10099999999999999</v>
      </c>
      <c r="H2" s="135">
        <v>1494.5820533527208</v>
      </c>
      <c r="I2" s="135">
        <f>H2-273.15</f>
        <v>1221.4320533527207</v>
      </c>
      <c r="J2" s="135">
        <v>1799.3515098547894</v>
      </c>
      <c r="K2" s="135">
        <f>J2-273.15</f>
        <v>1526.2015098547895</v>
      </c>
    </row>
    <row r="3" spans="1:11" x14ac:dyDescent="0.25">
      <c r="A3" s="134" t="s">
        <v>39</v>
      </c>
      <c r="B3" s="3">
        <v>0.37793845791167513</v>
      </c>
      <c r="C3" s="3"/>
      <c r="D3" s="136">
        <v>89.346578622793658</v>
      </c>
      <c r="E3" s="136">
        <v>48.324511082535111</v>
      </c>
      <c r="F3" s="3">
        <v>60.826308657113664</v>
      </c>
      <c r="G3" s="2">
        <v>0.10300000000000001</v>
      </c>
      <c r="H3" s="135">
        <v>1438.8868903484415</v>
      </c>
      <c r="I3" s="135">
        <f t="shared" ref="I3:K8" si="0">H3-273.15</f>
        <v>1165.7368903484416</v>
      </c>
      <c r="J3" s="135">
        <v>1731.8045262262387</v>
      </c>
      <c r="K3" s="135">
        <f t="shared" si="0"/>
        <v>1458.6545262262389</v>
      </c>
    </row>
    <row r="4" spans="1:11" x14ac:dyDescent="0.25">
      <c r="A4" s="134" t="s">
        <v>41</v>
      </c>
      <c r="B4" s="3">
        <v>-3.8645341834775415</v>
      </c>
      <c r="C4" s="3"/>
      <c r="D4" s="136">
        <v>88.713666373136164</v>
      </c>
      <c r="E4" s="136">
        <v>47.95526806010291</v>
      </c>
      <c r="F4" s="3">
        <v>55.521092817570519</v>
      </c>
      <c r="G4" s="2">
        <v>0.107</v>
      </c>
      <c r="H4" s="135">
        <v>1434.6588827424846</v>
      </c>
      <c r="I4" s="135">
        <f t="shared" si="0"/>
        <v>1161.5088827424847</v>
      </c>
      <c r="J4" s="135">
        <v>1730.0297579044418</v>
      </c>
      <c r="K4" s="135">
        <f t="shared" si="0"/>
        <v>1456.8797579044417</v>
      </c>
    </row>
    <row r="5" spans="1:11" x14ac:dyDescent="0.25">
      <c r="A5" s="134" t="s">
        <v>42</v>
      </c>
      <c r="B5" s="3">
        <v>-1.2083376945226654</v>
      </c>
      <c r="C5" s="3">
        <v>89.901400659254179</v>
      </c>
      <c r="D5" s="3">
        <v>89.257894736842104</v>
      </c>
      <c r="E5" s="3">
        <v>48.43</v>
      </c>
      <c r="F5" s="3">
        <v>62.835381683410958</v>
      </c>
      <c r="G5" s="2">
        <v>0.10099999999999999</v>
      </c>
      <c r="H5" s="135">
        <v>1469.6498046608215</v>
      </c>
      <c r="I5" s="135">
        <f t="shared" si="0"/>
        <v>1196.4998046608216</v>
      </c>
      <c r="J5" s="135">
        <v>1768.3327620625628</v>
      </c>
      <c r="K5" s="135">
        <f t="shared" si="0"/>
        <v>1495.1827620625627</v>
      </c>
    </row>
    <row r="6" spans="1:11" x14ac:dyDescent="0.25">
      <c r="A6" s="134" t="s">
        <v>43</v>
      </c>
      <c r="B6" s="3">
        <v>-4.5083772176838606</v>
      </c>
      <c r="C6" s="3">
        <v>88.798000000000002</v>
      </c>
      <c r="D6" s="3">
        <v>88.828000000000003</v>
      </c>
      <c r="E6" s="3">
        <v>48.14</v>
      </c>
      <c r="F6" s="3">
        <v>55.725028099285169</v>
      </c>
      <c r="G6" s="2">
        <v>0.105</v>
      </c>
      <c r="H6" s="135">
        <v>1444.7540063378422</v>
      </c>
      <c r="I6" s="135">
        <f t="shared" si="0"/>
        <v>1171.6040063378423</v>
      </c>
      <c r="J6" s="135">
        <v>1740.8813983635439</v>
      </c>
      <c r="K6" s="135">
        <f t="shared" si="0"/>
        <v>1467.731398363544</v>
      </c>
    </row>
    <row r="7" spans="1:11" x14ac:dyDescent="0.25">
      <c r="A7" s="134" t="s">
        <v>36</v>
      </c>
      <c r="B7" s="3">
        <v>-4.844316874783039</v>
      </c>
      <c r="C7" s="3"/>
      <c r="D7" s="136">
        <v>89.054360992588997</v>
      </c>
      <c r="E7" s="136">
        <v>48.154030386288298</v>
      </c>
      <c r="F7" s="3">
        <v>58.376873366211179</v>
      </c>
      <c r="G7" s="2">
        <v>0.10400000000000001</v>
      </c>
      <c r="H7" s="135">
        <v>1407.431157996836</v>
      </c>
      <c r="I7" s="135">
        <f t="shared" si="0"/>
        <v>1134.2811579968361</v>
      </c>
      <c r="J7" s="135">
        <v>1693.4441574469524</v>
      </c>
      <c r="K7" s="135">
        <f t="shared" si="0"/>
        <v>1420.2941574469523</v>
      </c>
    </row>
    <row r="8" spans="1:11" x14ac:dyDescent="0.25">
      <c r="A8" s="134" t="s">
        <v>38</v>
      </c>
      <c r="B8" s="3">
        <v>-5.2932730070909262</v>
      </c>
      <c r="C8" s="3">
        <v>88.938000000000002</v>
      </c>
      <c r="D8" s="3">
        <v>88.305999999999997</v>
      </c>
      <c r="E8" s="3">
        <v>47.63</v>
      </c>
      <c r="F8" s="3">
        <v>52.589214399610618</v>
      </c>
      <c r="G8" s="2">
        <v>0.11</v>
      </c>
      <c r="H8" s="135">
        <v>1510.8711305209401</v>
      </c>
      <c r="I8" s="135">
        <f t="shared" si="0"/>
        <v>1237.7211305209403</v>
      </c>
      <c r="J8" s="135">
        <v>1828.2262270132294</v>
      </c>
      <c r="K8" s="135">
        <f t="shared" si="0"/>
        <v>1555.0762270132295</v>
      </c>
    </row>
    <row r="10" spans="1:11" ht="17.25" x14ac:dyDescent="0.25">
      <c r="A10" s="137" t="s">
        <v>107</v>
      </c>
      <c r="B10" t="s">
        <v>119</v>
      </c>
    </row>
    <row r="11" spans="1:11" ht="17.25" x14ac:dyDescent="0.25">
      <c r="A11" s="137"/>
      <c r="B11" t="s">
        <v>108</v>
      </c>
    </row>
    <row r="12" spans="1:11" ht="17.25" x14ac:dyDescent="0.25">
      <c r="A12" s="137"/>
      <c r="B12" t="s">
        <v>109</v>
      </c>
    </row>
    <row r="13" spans="1:11" ht="17.25" x14ac:dyDescent="0.25">
      <c r="A13" s="138" t="s">
        <v>110</v>
      </c>
      <c r="B13" t="s">
        <v>118</v>
      </c>
    </row>
    <row r="14" spans="1:11" ht="17.25" x14ac:dyDescent="0.25">
      <c r="A14" s="139" t="s">
        <v>111</v>
      </c>
      <c r="B14" t="s">
        <v>112</v>
      </c>
    </row>
    <row r="16" spans="1:11" x14ac:dyDescent="0.25">
      <c r="B16" s="140" t="s">
        <v>113</v>
      </c>
    </row>
    <row r="17" spans="2:2" x14ac:dyDescent="0.25">
      <c r="B17" s="140" t="s">
        <v>114</v>
      </c>
    </row>
    <row r="18" spans="2:2" x14ac:dyDescent="0.25">
      <c r="B18" s="140" t="s">
        <v>115</v>
      </c>
    </row>
    <row r="19" spans="2:2" x14ac:dyDescent="0.25">
      <c r="B19" s="140" t="s">
        <v>116</v>
      </c>
    </row>
    <row r="20" spans="2:2" x14ac:dyDescent="0.25">
      <c r="B20" s="140" t="s">
        <v>117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SrNdHf-ThisStudy&amp;Literature</vt:lpstr>
      <vt:lpstr>Standard Analyses</vt:lpstr>
      <vt:lpstr>Ol-Spl Thermometry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 Dalton</dc:creator>
  <cp:lastModifiedBy>Hayden Dalton</cp:lastModifiedBy>
  <dcterms:created xsi:type="dcterms:W3CDTF">2021-09-04T01:10:31Z</dcterms:created>
  <dcterms:modified xsi:type="dcterms:W3CDTF">2022-04-29T04:30:29Z</dcterms:modified>
</cp:coreProperties>
</file>