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a3dd5e90da70cb/Documents/Masters/Capstone/Assignments/Project/"/>
    </mc:Choice>
  </mc:AlternateContent>
  <xr:revisionPtr revIDLastSave="0" documentId="8_{9FA3493F-FFEB-4A28-BE7B-B59736994053}" xr6:coauthVersionLast="47" xr6:coauthVersionMax="47" xr10:uidLastSave="{00000000-0000-0000-0000-000000000000}"/>
  <bookViews>
    <workbookView xWindow="-110" yWindow="-110" windowWidth="19420" windowHeight="10420" xr2:uid="{0C840DC8-2B26-4820-A045-0F42544E111B}"/>
  </bookViews>
  <sheets>
    <sheet name="GHG emissions" sheetId="2" r:id="rId1"/>
    <sheet name="Material Breakdown" sheetId="3" r:id="rId2"/>
    <sheet name="LC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" l="1"/>
  <c r="C14" i="4" s="1"/>
  <c r="B5" i="4"/>
  <c r="C5" i="4"/>
  <c r="D5" i="4"/>
  <c r="G5" i="4"/>
  <c r="G6" i="4"/>
  <c r="B9" i="4"/>
  <c r="G9" i="4" s="1"/>
  <c r="C9" i="4"/>
  <c r="D9" i="4"/>
  <c r="E9" i="4"/>
  <c r="F9" i="4"/>
  <c r="B10" i="4"/>
  <c r="G10" i="4" s="1"/>
  <c r="C10" i="4"/>
  <c r="D10" i="4"/>
  <c r="E10" i="4"/>
  <c r="F10" i="4"/>
  <c r="B11" i="4"/>
  <c r="C11" i="4"/>
  <c r="D11" i="4"/>
  <c r="E11" i="4"/>
  <c r="F11" i="4"/>
  <c r="G11" i="4"/>
  <c r="B14" i="4"/>
  <c r="B15" i="4"/>
  <c r="C15" i="4"/>
  <c r="B16" i="4"/>
  <c r="C16" i="4"/>
  <c r="I13" i="3"/>
  <c r="B14" i="3"/>
  <c r="C14" i="3"/>
  <c r="D14" i="3"/>
  <c r="Z18" i="3" s="1"/>
  <c r="I14" i="3"/>
  <c r="I15" i="3"/>
  <c r="Z17" i="3"/>
  <c r="AA17" i="3"/>
  <c r="AB17" i="3"/>
  <c r="Y18" i="3"/>
  <c r="AA18" i="3"/>
  <c r="B19" i="3"/>
  <c r="C19" i="3"/>
  <c r="D19" i="3"/>
  <c r="E19" i="3"/>
  <c r="F19" i="3"/>
  <c r="G19" i="3"/>
  <c r="H19" i="3"/>
  <c r="I19" i="3"/>
  <c r="J19" i="3"/>
  <c r="Y19" i="3"/>
  <c r="Z19" i="3"/>
  <c r="AA19" i="3"/>
  <c r="B20" i="3"/>
  <c r="C40" i="3" s="1"/>
  <c r="C20" i="3"/>
  <c r="D20" i="3"/>
  <c r="E20" i="3"/>
  <c r="F20" i="3"/>
  <c r="G20" i="3"/>
  <c r="H20" i="3"/>
  <c r="I20" i="3"/>
  <c r="J20" i="3"/>
  <c r="Y20" i="3"/>
  <c r="Z20" i="3"/>
  <c r="AA20" i="3"/>
  <c r="B21" i="3"/>
  <c r="C21" i="3"/>
  <c r="D40" i="3" s="1"/>
  <c r="D21" i="3"/>
  <c r="E21" i="3"/>
  <c r="F21" i="3"/>
  <c r="G21" i="3"/>
  <c r="H21" i="3"/>
  <c r="I21" i="3"/>
  <c r="J21" i="3"/>
  <c r="Y21" i="3"/>
  <c r="Z21" i="3"/>
  <c r="AA21" i="3"/>
  <c r="Z22" i="3"/>
  <c r="AA22" i="3"/>
  <c r="AB22" i="3"/>
  <c r="B23" i="3"/>
  <c r="B26" i="3" s="1"/>
  <c r="C41" i="3" s="1"/>
  <c r="C23" i="3"/>
  <c r="C27" i="3" s="1"/>
  <c r="D23" i="3"/>
  <c r="D27" i="3" s="1"/>
  <c r="E23" i="3"/>
  <c r="E25" i="3" s="1"/>
  <c r="B41" i="3" s="1"/>
  <c r="Z23" i="3"/>
  <c r="AA23" i="3"/>
  <c r="AB23" i="3"/>
  <c r="Z24" i="3"/>
  <c r="AA24" i="3"/>
  <c r="AB24" i="3"/>
  <c r="B25" i="3"/>
  <c r="C25" i="3"/>
  <c r="D25" i="3"/>
  <c r="Z25" i="3"/>
  <c r="AA25" i="3"/>
  <c r="AB25" i="3"/>
  <c r="C26" i="3"/>
  <c r="D26" i="3"/>
  <c r="E26" i="3"/>
  <c r="B27" i="3"/>
  <c r="AE30" i="3"/>
  <c r="AE31" i="3"/>
  <c r="AE32" i="3"/>
  <c r="AE33" i="3"/>
  <c r="AE34" i="3"/>
  <c r="AE35" i="3"/>
  <c r="B36" i="3"/>
  <c r="C36" i="3"/>
  <c r="D36" i="3"/>
  <c r="E36" i="3"/>
  <c r="F36" i="3"/>
  <c r="G36" i="3"/>
  <c r="H36" i="3"/>
  <c r="I36" i="3"/>
  <c r="J36" i="3"/>
  <c r="K36" i="3"/>
  <c r="L36" i="3"/>
  <c r="AE36" i="3"/>
  <c r="AE37" i="3"/>
  <c r="AE38" i="3"/>
  <c r="AE39" i="3"/>
  <c r="B40" i="3"/>
  <c r="AE40" i="3"/>
  <c r="B42" i="3"/>
  <c r="C42" i="3"/>
  <c r="G42" i="3" s="1"/>
  <c r="K42" i="3" s="1"/>
  <c r="D42" i="3"/>
  <c r="H46" i="3"/>
  <c r="H54" i="3"/>
  <c r="H55" i="3"/>
  <c r="H56" i="3"/>
  <c r="B13" i="2"/>
  <c r="B14" i="2" s="1"/>
  <c r="C13" i="2"/>
  <c r="C14" i="2" s="1"/>
  <c r="D13" i="2"/>
  <c r="D14" i="2"/>
  <c r="B28" i="2"/>
  <c r="C28" i="2"/>
  <c r="C29" i="2" s="1"/>
  <c r="D28" i="2"/>
  <c r="D29" i="2" s="1"/>
  <c r="C102" i="2" s="1"/>
  <c r="B29" i="2"/>
  <c r="B43" i="2"/>
  <c r="C43" i="2"/>
  <c r="C44" i="2" s="1"/>
  <c r="D43" i="2"/>
  <c r="B44" i="2"/>
  <c r="D44" i="2"/>
  <c r="D58" i="2"/>
  <c r="D59" i="2"/>
  <c r="B65" i="2"/>
  <c r="D65" i="2"/>
  <c r="F65" i="2"/>
  <c r="F76" i="2" s="1"/>
  <c r="F77" i="2" s="1"/>
  <c r="B66" i="2"/>
  <c r="B76" i="2" s="1"/>
  <c r="B77" i="2" s="1"/>
  <c r="D66" i="2"/>
  <c r="F66" i="2"/>
  <c r="B67" i="2"/>
  <c r="D67" i="2"/>
  <c r="F67" i="2"/>
  <c r="D68" i="2"/>
  <c r="F68" i="2"/>
  <c r="D69" i="2"/>
  <c r="D76" i="2" s="1"/>
  <c r="D77" i="2" s="1"/>
  <c r="F69" i="2"/>
  <c r="D70" i="2"/>
  <c r="F70" i="2"/>
  <c r="F71" i="2"/>
  <c r="F72" i="2"/>
  <c r="F73" i="2"/>
  <c r="F74" i="2"/>
  <c r="F75" i="2"/>
  <c r="D88" i="2"/>
  <c r="D97" i="2" s="1"/>
  <c r="H88" i="2"/>
  <c r="H97" i="2" s="1"/>
  <c r="L88" i="2"/>
  <c r="D89" i="2"/>
  <c r="H89" i="2"/>
  <c r="L89" i="2"/>
  <c r="D90" i="2"/>
  <c r="H90" i="2"/>
  <c r="L90" i="2"/>
  <c r="L97" i="2" s="1"/>
  <c r="D91" i="2"/>
  <c r="H91" i="2"/>
  <c r="L91" i="2"/>
  <c r="D92" i="2"/>
  <c r="H92" i="2"/>
  <c r="L92" i="2"/>
  <c r="H93" i="2"/>
  <c r="L93" i="2"/>
  <c r="H94" i="2"/>
  <c r="L94" i="2"/>
  <c r="H95" i="2"/>
  <c r="L95" i="2"/>
  <c r="I42" i="3" l="1"/>
  <c r="D41" i="3"/>
  <c r="H50" i="3"/>
  <c r="G40" i="3"/>
  <c r="H48" i="3"/>
  <c r="K40" i="3"/>
  <c r="H47" i="3"/>
  <c r="J40" i="3"/>
  <c r="I40" i="3"/>
  <c r="H51" i="3"/>
  <c r="J42" i="3"/>
  <c r="E27" i="3"/>
  <c r="C107" i="2"/>
  <c r="G108" i="2" s="1"/>
  <c r="C105" i="2"/>
  <c r="F108" i="2" s="1"/>
  <c r="B102" i="2"/>
  <c r="A102" i="2"/>
  <c r="G41" i="3" l="1"/>
  <c r="H52" i="3"/>
  <c r="A105" i="2"/>
  <c r="F106" i="2" s="1"/>
  <c r="A107" i="2"/>
  <c r="G106" i="2" s="1"/>
  <c r="B107" i="2"/>
  <c r="G107" i="2" s="1"/>
  <c r="B105" i="2"/>
  <c r="F107" i="2" s="1"/>
  <c r="I41" i="3" l="1"/>
  <c r="B45" i="3" s="1"/>
  <c r="J41" i="3"/>
  <c r="B46" i="3" s="1"/>
  <c r="K41" i="3"/>
  <c r="B47" i="3" s="1"/>
</calcChain>
</file>

<file path=xl/sharedStrings.xml><?xml version="1.0" encoding="utf-8"?>
<sst xmlns="http://schemas.openxmlformats.org/spreadsheetml/2006/main" count="288" uniqueCount="95">
  <si>
    <t>ALT 2</t>
  </si>
  <si>
    <t>ALT 1</t>
  </si>
  <si>
    <t>BAU</t>
  </si>
  <si>
    <t>WORST CASE</t>
  </si>
  <si>
    <t>Worst</t>
  </si>
  <si>
    <t>Best</t>
  </si>
  <si>
    <t>Units kt CO2e</t>
  </si>
  <si>
    <t>BEST CASE</t>
  </si>
  <si>
    <t>TOTAL ALT2 (kt CO2e)</t>
  </si>
  <si>
    <t>TOTAL ALT1 (kt CO2e)</t>
  </si>
  <si>
    <t>TOTAL BAU (kt CO2e)</t>
  </si>
  <si>
    <t>TOTAL</t>
  </si>
  <si>
    <t>total CO2e (t)</t>
  </si>
  <si>
    <t>t CO2e/km</t>
  </si>
  <si>
    <t>kms</t>
  </si>
  <si>
    <t>kV</t>
  </si>
  <si>
    <t>Transmission lines</t>
  </si>
  <si>
    <t>Storage g CO2e/kWh</t>
  </si>
  <si>
    <t>ALT2 (MWh)</t>
  </si>
  <si>
    <t>ALT2</t>
  </si>
  <si>
    <t>ALT1 (MWh)</t>
  </si>
  <si>
    <t>ALT1</t>
  </si>
  <si>
    <t>BAU (MWh)</t>
  </si>
  <si>
    <t>BAU (MW)</t>
  </si>
  <si>
    <t>Assumed 4hour discharge time per day (battery capacity MW*4*365=MWh)</t>
  </si>
  <si>
    <t>Batteries:</t>
  </si>
  <si>
    <t>Total (GWh)</t>
  </si>
  <si>
    <t>https://www.climatexchange.org.uk/media/1459/life_cycle_wind_-_executive_summary_.pdf</t>
  </si>
  <si>
    <t>Offshore Wind (GWh)</t>
  </si>
  <si>
    <t>Year</t>
  </si>
  <si>
    <t>Offfshore Wind g CO2e/kWh</t>
  </si>
  <si>
    <t>Wind (GWh)</t>
  </si>
  <si>
    <t>Wind g CO2e/kWh</t>
  </si>
  <si>
    <t>Solar (GWh)</t>
  </si>
  <si>
    <t>https://www.nrel.gov/docs/fy13osti/56487.pdf</t>
  </si>
  <si>
    <t>Solar g CO2e/kWh</t>
  </si>
  <si>
    <t>Coal (GWh)</t>
  </si>
  <si>
    <t>Coal g CO2e/kWh</t>
  </si>
  <si>
    <t>Units km</t>
  </si>
  <si>
    <t>Units kg</t>
  </si>
  <si>
    <t>Weighting</t>
  </si>
  <si>
    <t>Aggregation</t>
  </si>
  <si>
    <t>50% more projects go ahead than anticipated (ALT 1)</t>
  </si>
  <si>
    <t>No new projects to go ahead</t>
  </si>
  <si>
    <t>Transmission</t>
  </si>
  <si>
    <t>50% more projects go ahead than anticipated (ALT 2)</t>
  </si>
  <si>
    <t xml:space="preserve">Storage </t>
  </si>
  <si>
    <t>Clean Energy Material</t>
  </si>
  <si>
    <t>Lithium</t>
  </si>
  <si>
    <t>Evidence</t>
  </si>
  <si>
    <t>Value</t>
  </si>
  <si>
    <t>Metric</t>
  </si>
  <si>
    <t>Others</t>
  </si>
  <si>
    <t>Normalised</t>
  </si>
  <si>
    <t>Data</t>
  </si>
  <si>
    <t>Silicon</t>
  </si>
  <si>
    <t>Rare earths</t>
  </si>
  <si>
    <t xml:space="preserve">Avg. </t>
  </si>
  <si>
    <t>Zinc</t>
  </si>
  <si>
    <t>Molybdenum</t>
  </si>
  <si>
    <t>Storage</t>
  </si>
  <si>
    <t>Chromium</t>
  </si>
  <si>
    <t>Offshore Wind</t>
  </si>
  <si>
    <t>Cobalt</t>
  </si>
  <si>
    <t>Onshore Wind</t>
  </si>
  <si>
    <t>Manganese</t>
  </si>
  <si>
    <t>Solar</t>
  </si>
  <si>
    <t>Nickel</t>
  </si>
  <si>
    <t>https://www.iea.org/reports/the-role-of-critical-minerals-in-clean-energy-transitions</t>
  </si>
  <si>
    <t>Copper</t>
  </si>
  <si>
    <t>Scale 1-3</t>
  </si>
  <si>
    <t>Importance</t>
  </si>
  <si>
    <t>Units: kg</t>
  </si>
  <si>
    <t>https://www.nature.com/articles/d41586-021-02222-1</t>
  </si>
  <si>
    <t>Storage/Transmission</t>
  </si>
  <si>
    <t>Clean Energy</t>
  </si>
  <si>
    <t>Units: kms</t>
  </si>
  <si>
    <t>Units: kWh</t>
  </si>
  <si>
    <t>Offshore wind</t>
  </si>
  <si>
    <t>Onshore wind</t>
  </si>
  <si>
    <t>Units: MW</t>
  </si>
  <si>
    <t>g/kwh</t>
  </si>
  <si>
    <t>https://publications.lib.chalmers.se/records/fulltext/230991/local_230991.pdf</t>
  </si>
  <si>
    <t>Energy Systems</t>
  </si>
  <si>
    <t>Natural gas</t>
  </si>
  <si>
    <t>Coal</t>
  </si>
  <si>
    <t>Nuclear</t>
  </si>
  <si>
    <t>kg/MW</t>
  </si>
  <si>
    <t>https://www.iea.org/t_c/termsandconditions/</t>
  </si>
  <si>
    <t>IEA Data</t>
  </si>
  <si>
    <t>Units MW Y</t>
  </si>
  <si>
    <t>https://www.aer.gov.au/system/files/PWC%20-%2014.4%20AMP%20Underground%20Cables%20-%2028%20February%202018.pdf</t>
  </si>
  <si>
    <t>https://www.nrel.gov/docs/fy17osti/67102.pdf</t>
  </si>
  <si>
    <t>https://www.nrel.gov/analysis/tech-footprint.html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</si>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</sst>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CE4D6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6" fillId="0" borderId="0" xfId="2"/>
    <xf numFmtId="0" fontId="2" fillId="0" borderId="0" xfId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2" fontId="7" fillId="4" borderId="1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9" fillId="7" borderId="10" xfId="1" applyFont="1" applyFill="1" applyBorder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9" fillId="7" borderId="12" xfId="1" applyFont="1" applyFill="1" applyBorder="1" applyAlignment="1">
      <alignment vertical="center" wrapText="1"/>
    </xf>
    <xf numFmtId="0" fontId="9" fillId="7" borderId="13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8" fillId="6" borderId="4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9" fillId="0" borderId="14" xfId="1" applyFont="1" applyBorder="1" applyAlignment="1">
      <alignment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7" borderId="15" xfId="1" applyFont="1" applyFill="1" applyBorder="1" applyAlignment="1">
      <alignment horizontal="center" vertical="center"/>
    </xf>
    <xf numFmtId="0" fontId="9" fillId="7" borderId="16" xfId="1" applyFont="1" applyFill="1" applyBorder="1" applyAlignment="1">
      <alignment horizontal="center" vertical="center"/>
    </xf>
    <xf numFmtId="0" fontId="9" fillId="7" borderId="17" xfId="1" applyFont="1" applyFill="1" applyBorder="1" applyAlignment="1">
      <alignment horizontal="center" vertical="center"/>
    </xf>
    <xf numFmtId="0" fontId="9" fillId="6" borderId="18" xfId="1" applyFont="1" applyFill="1" applyBorder="1" applyAlignment="1">
      <alignment horizontal="center" vertical="center"/>
    </xf>
    <xf numFmtId="0" fontId="9" fillId="6" borderId="19" xfId="1" applyFont="1" applyFill="1" applyBorder="1" applyAlignment="1">
      <alignment horizontal="center" vertical="center"/>
    </xf>
    <xf numFmtId="0" fontId="9" fillId="5" borderId="20" xfId="1" applyFont="1" applyFill="1" applyBorder="1" applyAlignment="1">
      <alignment horizontal="center" vertical="center"/>
    </xf>
    <xf numFmtId="0" fontId="9" fillId="5" borderId="19" xfId="1" applyFont="1" applyFill="1" applyBorder="1" applyAlignment="1">
      <alignment horizontal="center" vertical="center"/>
    </xf>
    <xf numFmtId="0" fontId="9" fillId="7" borderId="20" xfId="1" applyFont="1" applyFill="1" applyBorder="1" applyAlignment="1">
      <alignment horizontal="center" vertical="center"/>
    </xf>
    <xf numFmtId="0" fontId="9" fillId="7" borderId="18" xfId="1" applyFont="1" applyFill="1" applyBorder="1" applyAlignment="1">
      <alignment horizontal="center" vertical="center"/>
    </xf>
    <xf numFmtId="0" fontId="7" fillId="0" borderId="21" xfId="1" applyFont="1" applyBorder="1" applyAlignment="1">
      <alignment vertical="center"/>
    </xf>
    <xf numFmtId="0" fontId="1" fillId="0" borderId="0" xfId="1" applyFont="1"/>
  </cellXfs>
  <cellStyles count="3">
    <cellStyle name="Hyperlink" xfId="2" builtinId="8"/>
    <cellStyle name="Normal" xfId="0" builtinId="0"/>
    <cellStyle name="Normal 2" xfId="1" xr:uid="{41E1555A-26BE-4BBC-B482-A10FB6F5AF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Clean Energy Minerals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'Material Breakdown'!$Z$3</c:f>
              <c:strCache>
                <c:ptCount val="1"/>
                <c:pt idx="0">
                  <c:v>Offshore wind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'Material Breakdown'!$Y$4:$Y$10</c:f>
              <c:strCache>
                <c:ptCount val="7"/>
                <c:pt idx="0">
                  <c:v>Copper</c:v>
                </c:pt>
                <c:pt idx="1">
                  <c:v>Nickel</c:v>
                </c:pt>
                <c:pt idx="2">
                  <c:v>Manganese</c:v>
                </c:pt>
                <c:pt idx="3">
                  <c:v>Chromium</c:v>
                </c:pt>
                <c:pt idx="4">
                  <c:v>Molybdenum</c:v>
                </c:pt>
                <c:pt idx="5">
                  <c:v>Zinc</c:v>
                </c:pt>
                <c:pt idx="6">
                  <c:v>Rare earths</c:v>
                </c:pt>
              </c:strCache>
            </c:strRef>
          </c:cat>
          <c:val>
            <c:numRef>
              <c:f>'Material Breakdown'!$Z$4:$Z$10</c:f>
              <c:numCache>
                <c:formatCode>General</c:formatCode>
                <c:ptCount val="7"/>
                <c:pt idx="0">
                  <c:v>8000</c:v>
                </c:pt>
                <c:pt idx="1">
                  <c:v>240</c:v>
                </c:pt>
                <c:pt idx="2">
                  <c:v>790</c:v>
                </c:pt>
                <c:pt idx="3">
                  <c:v>525</c:v>
                </c:pt>
                <c:pt idx="4">
                  <c:v>109</c:v>
                </c:pt>
                <c:pt idx="5">
                  <c:v>5500</c:v>
                </c:pt>
                <c:pt idx="6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A-48A1-AB3C-B8F724938F4A}"/>
            </c:ext>
          </c:extLst>
        </c:ser>
        <c:ser>
          <c:idx val="1"/>
          <c:order val="1"/>
          <c:tx>
            <c:strRef>
              <c:f>'Material Breakdown'!$AA$3</c:f>
              <c:strCache>
                <c:ptCount val="1"/>
                <c:pt idx="0">
                  <c:v>Onshore wind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'Material Breakdown'!$Y$4:$Y$10</c:f>
              <c:strCache>
                <c:ptCount val="7"/>
                <c:pt idx="0">
                  <c:v>Copper</c:v>
                </c:pt>
                <c:pt idx="1">
                  <c:v>Nickel</c:v>
                </c:pt>
                <c:pt idx="2">
                  <c:v>Manganese</c:v>
                </c:pt>
                <c:pt idx="3">
                  <c:v>Chromium</c:v>
                </c:pt>
                <c:pt idx="4">
                  <c:v>Molybdenum</c:v>
                </c:pt>
                <c:pt idx="5">
                  <c:v>Zinc</c:v>
                </c:pt>
                <c:pt idx="6">
                  <c:v>Rare earths</c:v>
                </c:pt>
              </c:strCache>
            </c:strRef>
          </c:cat>
          <c:val>
            <c:numRef>
              <c:f>'Material Breakdown'!$AA$4:$AA$10</c:f>
              <c:numCache>
                <c:formatCode>General</c:formatCode>
                <c:ptCount val="7"/>
                <c:pt idx="0">
                  <c:v>2900</c:v>
                </c:pt>
                <c:pt idx="1">
                  <c:v>403.5</c:v>
                </c:pt>
                <c:pt idx="2">
                  <c:v>780</c:v>
                </c:pt>
                <c:pt idx="3">
                  <c:v>470</c:v>
                </c:pt>
                <c:pt idx="4">
                  <c:v>99</c:v>
                </c:pt>
                <c:pt idx="5">
                  <c:v>5500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A-48A1-AB3C-B8F724938F4A}"/>
            </c:ext>
          </c:extLst>
        </c:ser>
        <c:ser>
          <c:idx val="2"/>
          <c:order val="2"/>
          <c:tx>
            <c:strRef>
              <c:f>'Material Breakdown'!$AB$3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'Material Breakdown'!$Y$4:$Y$10</c:f>
              <c:strCache>
                <c:ptCount val="7"/>
                <c:pt idx="0">
                  <c:v>Copper</c:v>
                </c:pt>
                <c:pt idx="1">
                  <c:v>Nickel</c:v>
                </c:pt>
                <c:pt idx="2">
                  <c:v>Manganese</c:v>
                </c:pt>
                <c:pt idx="3">
                  <c:v>Chromium</c:v>
                </c:pt>
                <c:pt idx="4">
                  <c:v>Molybdenum</c:v>
                </c:pt>
                <c:pt idx="5">
                  <c:v>Zinc</c:v>
                </c:pt>
                <c:pt idx="6">
                  <c:v>Rare earths</c:v>
                </c:pt>
              </c:strCache>
            </c:strRef>
          </c:cat>
          <c:val>
            <c:numRef>
              <c:f>'Material Breakdown'!$AB$4:$AB$10</c:f>
              <c:numCache>
                <c:formatCode>General</c:formatCode>
                <c:ptCount val="7"/>
                <c:pt idx="0">
                  <c:v>2822.1</c:v>
                </c:pt>
                <c:pt idx="1">
                  <c:v>1.3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29.99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AA-48A1-AB3C-B8F724938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82752"/>
        <c:axId val="36676928"/>
      </c:barChart>
      <c:catAx>
        <c:axId val="3668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Key Minerals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76928"/>
        <c:crosses val="autoZero"/>
        <c:auto val="1"/>
        <c:lblAlgn val="ctr"/>
        <c:lblOffset val="100"/>
        <c:noMultiLvlLbl val="0"/>
      </c:catAx>
      <c:valAx>
        <c:axId val="3667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kg/MW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Clean Energy Minerals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'Material Breakdown'!$Z$16</c:f>
              <c:strCache>
                <c:ptCount val="1"/>
                <c:pt idx="0">
                  <c:v>BAU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'Material Breakdown'!$Y$17:$Y$23</c:f>
              <c:strCache>
                <c:ptCount val="7"/>
                <c:pt idx="0">
                  <c:v>Copper</c:v>
                </c:pt>
                <c:pt idx="1">
                  <c:v>850447.75</c:v>
                </c:pt>
                <c:pt idx="2">
                  <c:v>1633710</c:v>
                </c:pt>
                <c:pt idx="3">
                  <c:v>984415</c:v>
                </c:pt>
                <c:pt idx="4">
                  <c:v>207355.5</c:v>
                </c:pt>
                <c:pt idx="5">
                  <c:v>Zinc</c:v>
                </c:pt>
                <c:pt idx="6">
                  <c:v>Rare earths</c:v>
                </c:pt>
              </c:strCache>
            </c:strRef>
          </c:cat>
          <c:val>
            <c:numRef>
              <c:f>'Material Breakdown'!$Z$17:$Z$23</c:f>
              <c:numCache>
                <c:formatCode>General</c:formatCode>
                <c:ptCount val="7"/>
                <c:pt idx="0">
                  <c:v>17616439</c:v>
                </c:pt>
                <c:pt idx="1">
                  <c:v>850447.75</c:v>
                </c:pt>
                <c:pt idx="2">
                  <c:v>1633710</c:v>
                </c:pt>
                <c:pt idx="3">
                  <c:v>984415</c:v>
                </c:pt>
                <c:pt idx="4">
                  <c:v>207355.5</c:v>
                </c:pt>
                <c:pt idx="5">
                  <c:v>11642409.1</c:v>
                </c:pt>
                <c:pt idx="6">
                  <c:v>29323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8-4C7D-B55F-5FBC1F52E2FB}"/>
            </c:ext>
          </c:extLst>
        </c:ser>
        <c:ser>
          <c:idx val="1"/>
          <c:order val="1"/>
          <c:tx>
            <c:strRef>
              <c:f>'Material Breakdown'!$AA$16</c:f>
              <c:strCache>
                <c:ptCount val="1"/>
                <c:pt idx="0">
                  <c:v>ALT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'Material Breakdown'!$Y$17:$Y$23</c:f>
              <c:strCache>
                <c:ptCount val="7"/>
                <c:pt idx="0">
                  <c:v>Copper</c:v>
                </c:pt>
                <c:pt idx="1">
                  <c:v>850447.75</c:v>
                </c:pt>
                <c:pt idx="2">
                  <c:v>1633710</c:v>
                </c:pt>
                <c:pt idx="3">
                  <c:v>984415</c:v>
                </c:pt>
                <c:pt idx="4">
                  <c:v>207355.5</c:v>
                </c:pt>
                <c:pt idx="5">
                  <c:v>Zinc</c:v>
                </c:pt>
                <c:pt idx="6">
                  <c:v>Rare earths</c:v>
                </c:pt>
              </c:strCache>
            </c:strRef>
          </c:cat>
          <c:val>
            <c:numRef>
              <c:f>'Material Breakdown'!$AA$17:$AA$23</c:f>
              <c:numCache>
                <c:formatCode>General</c:formatCode>
                <c:ptCount val="7"/>
                <c:pt idx="0">
                  <c:v>17616439</c:v>
                </c:pt>
                <c:pt idx="1">
                  <c:v>1971789.6</c:v>
                </c:pt>
                <c:pt idx="2">
                  <c:v>5175130</c:v>
                </c:pt>
                <c:pt idx="3">
                  <c:v>3323795</c:v>
                </c:pt>
                <c:pt idx="4">
                  <c:v>693469</c:v>
                </c:pt>
                <c:pt idx="5">
                  <c:v>11642409.1</c:v>
                </c:pt>
                <c:pt idx="6">
                  <c:v>29323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08-4C7D-B55F-5FBC1F52E2FB}"/>
            </c:ext>
          </c:extLst>
        </c:ser>
        <c:ser>
          <c:idx val="2"/>
          <c:order val="2"/>
          <c:tx>
            <c:strRef>
              <c:f>'Material Breakdown'!$AB$16</c:f>
              <c:strCache>
                <c:ptCount val="1"/>
                <c:pt idx="0">
                  <c:v>ALT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'Material Breakdown'!$Y$17:$Y$23</c:f>
              <c:strCache>
                <c:ptCount val="7"/>
                <c:pt idx="0">
                  <c:v>Copper</c:v>
                </c:pt>
                <c:pt idx="1">
                  <c:v>850447.75</c:v>
                </c:pt>
                <c:pt idx="2">
                  <c:v>1633710</c:v>
                </c:pt>
                <c:pt idx="3">
                  <c:v>984415</c:v>
                </c:pt>
                <c:pt idx="4">
                  <c:v>207355.5</c:v>
                </c:pt>
                <c:pt idx="5">
                  <c:v>Zinc</c:v>
                </c:pt>
                <c:pt idx="6">
                  <c:v>Rare earths</c:v>
                </c:pt>
              </c:strCache>
            </c:strRef>
          </c:cat>
          <c:val>
            <c:numRef>
              <c:f>'Material Breakdown'!$AB$17:$AB$23</c:f>
              <c:numCache>
                <c:formatCode>General</c:formatCode>
                <c:ptCount val="7"/>
                <c:pt idx="0">
                  <c:v>45339056.200000003</c:v>
                </c:pt>
                <c:pt idx="5">
                  <c:v>36247142.780000001</c:v>
                </c:pt>
                <c:pt idx="6">
                  <c:v>1036009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08-4C7D-B55F-5FBC1F52E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5798144"/>
        <c:axId val="2125800640"/>
      </c:barChart>
      <c:catAx>
        <c:axId val="2125798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Key Minerals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5800640"/>
        <c:crosses val="autoZero"/>
        <c:auto val="1"/>
        <c:lblAlgn val="ctr"/>
        <c:lblOffset val="100"/>
        <c:noMultiLvlLbl val="0"/>
      </c:catAx>
      <c:valAx>
        <c:axId val="212580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579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Storage Materials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'Material Breakdown'!$A$25</c:f>
              <c:strCache>
                <c:ptCount val="1"/>
                <c:pt idx="0">
                  <c:v>BAU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'Material Breakdown'!$B$24:$E$24</c:f>
              <c:strCache>
                <c:ptCount val="4"/>
                <c:pt idx="0">
                  <c:v>Lithium</c:v>
                </c:pt>
                <c:pt idx="1">
                  <c:v>Nickel</c:v>
                </c:pt>
                <c:pt idx="2">
                  <c:v>Manganese</c:v>
                </c:pt>
                <c:pt idx="3">
                  <c:v>Cobalt</c:v>
                </c:pt>
              </c:strCache>
            </c:strRef>
          </c:cat>
          <c:val>
            <c:numRef>
              <c:f>'Material Breakdown'!$B$25:$E$25</c:f>
              <c:numCache>
                <c:formatCode>General</c:formatCode>
                <c:ptCount val="4"/>
                <c:pt idx="0">
                  <c:v>8170.3896103896104</c:v>
                </c:pt>
                <c:pt idx="1">
                  <c:v>35745.454545454544</c:v>
                </c:pt>
                <c:pt idx="2">
                  <c:v>20425.974025974025</c:v>
                </c:pt>
                <c:pt idx="3">
                  <c:v>14298.181818181818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E-4138-B4FD-A3BD71ACE79A}"/>
            </c:ext>
          </c:extLst>
        </c:ser>
        <c:ser>
          <c:idx val="1"/>
          <c:order val="1"/>
          <c:tx>
            <c:strRef>
              <c:f>'Material Breakdown'!$A$26</c:f>
              <c:strCache>
                <c:ptCount val="1"/>
                <c:pt idx="0">
                  <c:v>ALT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'Material Breakdown'!$B$24:$E$24</c:f>
              <c:strCache>
                <c:ptCount val="4"/>
                <c:pt idx="0">
                  <c:v>Lithium</c:v>
                </c:pt>
                <c:pt idx="1">
                  <c:v>Nickel</c:v>
                </c:pt>
                <c:pt idx="2">
                  <c:v>Manganese</c:v>
                </c:pt>
                <c:pt idx="3">
                  <c:v>Cobalt</c:v>
                </c:pt>
              </c:strCache>
            </c:strRef>
          </c:cat>
          <c:val>
            <c:numRef>
              <c:f>'Material Breakdown'!$B$26:$E$26</c:f>
              <c:numCache>
                <c:formatCode>General</c:formatCode>
                <c:ptCount val="4"/>
                <c:pt idx="0">
                  <c:v>92384.41558441559</c:v>
                </c:pt>
                <c:pt idx="1">
                  <c:v>404181.81818181818</c:v>
                </c:pt>
                <c:pt idx="2">
                  <c:v>230961.03896103892</c:v>
                </c:pt>
                <c:pt idx="3">
                  <c:v>161672.72727272729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E-4138-B4FD-A3BD71ACE79A}"/>
            </c:ext>
          </c:extLst>
        </c:ser>
        <c:ser>
          <c:idx val="2"/>
          <c:order val="2"/>
          <c:tx>
            <c:strRef>
              <c:f>'Material Breakdown'!$A$27</c:f>
              <c:strCache>
                <c:ptCount val="1"/>
                <c:pt idx="0">
                  <c:v>ALT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'Material Breakdown'!$B$24:$E$24</c:f>
              <c:strCache>
                <c:ptCount val="4"/>
                <c:pt idx="0">
                  <c:v>Lithium</c:v>
                </c:pt>
                <c:pt idx="1">
                  <c:v>Nickel</c:v>
                </c:pt>
                <c:pt idx="2">
                  <c:v>Manganese</c:v>
                </c:pt>
                <c:pt idx="3">
                  <c:v>Cobalt</c:v>
                </c:pt>
              </c:strCache>
            </c:strRef>
          </c:cat>
          <c:val>
            <c:numRef>
              <c:f>'Material Breakdown'!$B$27:$E$27</c:f>
              <c:numCache>
                <c:formatCode>General</c:formatCode>
                <c:ptCount val="4"/>
                <c:pt idx="0">
                  <c:v>168519.48051948054</c:v>
                </c:pt>
                <c:pt idx="1">
                  <c:v>737272.72727272729</c:v>
                </c:pt>
                <c:pt idx="2">
                  <c:v>421298.70129870123</c:v>
                </c:pt>
                <c:pt idx="3">
                  <c:v>294909.09090909088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4E-4138-B4FD-A3BD71ACE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261056"/>
        <c:axId val="37257728"/>
      </c:barChart>
      <c:catAx>
        <c:axId val="37261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Minerals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57728"/>
        <c:crosses val="autoZero"/>
        <c:auto val="1"/>
        <c:lblAlgn val="ctr"/>
        <c:lblOffset val="100"/>
        <c:noMultiLvlLbl val="0"/>
      </c:catAx>
      <c:valAx>
        <c:axId val="3725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Transmission Distance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'Material Breakdown'!$L$12</c:f>
              <c:strCache>
                <c:ptCount val="1"/>
                <c:pt idx="0">
                  <c:v>Transmission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'Material Breakdown'!$K$13:$K$15</c:f>
              <c:strCache>
                <c:ptCount val="3"/>
                <c:pt idx="0">
                  <c:v>BAU</c:v>
                </c:pt>
                <c:pt idx="1">
                  <c:v>ALT 1</c:v>
                </c:pt>
                <c:pt idx="2">
                  <c:v>ALT 2</c:v>
                </c:pt>
              </c:strCache>
            </c:strRef>
          </c:cat>
          <c:val>
            <c:numRef>
              <c:f>'Material Breakdown'!$L$13:$L$15</c:f>
              <c:numCache>
                <c:formatCode>General</c:formatCode>
                <c:ptCount val="3"/>
                <c:pt idx="0">
                  <c:v>1830</c:v>
                </c:pt>
                <c:pt idx="1">
                  <c:v>6970</c:v>
                </c:pt>
                <c:pt idx="2">
                  <c:v>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7-47F7-A4C2-EC74519C9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548352"/>
        <c:axId val="90550016"/>
      </c:barChart>
      <c:catAx>
        <c:axId val="90548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Proposal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0016"/>
        <c:crosses val="autoZero"/>
        <c:auto val="1"/>
        <c:lblAlgn val="ctr"/>
        <c:lblOffset val="100"/>
        <c:noMultiLvlLbl val="0"/>
      </c:catAx>
      <c:valAx>
        <c:axId val="9055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km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4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35767</xdr:colOff>
      <xdr:row>5</xdr:row>
      <xdr:rowOff>40173</xdr:rowOff>
    </xdr:from>
    <xdr:to>
      <xdr:col>21</xdr:col>
      <xdr:colOff>641739</xdr:colOff>
      <xdr:row>19</xdr:row>
      <xdr:rowOff>61945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41C5F3-BA68-4BF7-8378-44AC11FB8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546100</xdr:colOff>
      <xdr:row>13</xdr:row>
      <xdr:rowOff>114300</xdr:rowOff>
    </xdr:from>
    <xdr:to>
      <xdr:col>35</xdr:col>
      <xdr:colOff>482600</xdr:colOff>
      <xdr:row>27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31AE68-E2A0-44CC-9DE2-9A1CF1CE6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622300</xdr:colOff>
      <xdr:row>19</xdr:row>
      <xdr:rowOff>0</xdr:rowOff>
    </xdr:from>
    <xdr:to>
      <xdr:col>21</xdr:col>
      <xdr:colOff>571500</xdr:colOff>
      <xdr:row>32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9CF2EE-B5E5-414B-87E4-6EB65CB73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190500</xdr:colOff>
      <xdr:row>32</xdr:row>
      <xdr:rowOff>190500</xdr:rowOff>
    </xdr:from>
    <xdr:to>
      <xdr:col>22</xdr:col>
      <xdr:colOff>139700</xdr:colOff>
      <xdr:row>41</xdr:row>
      <xdr:rowOff>393700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343B02-B4BF-4DDD-A469-AF4E94785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limatexchange.org.uk/media/1459/life_cycle_wind_-_executive_summary_.pdf" TargetMode="External"/><Relationship Id="rId2" Type="http://schemas.openxmlformats.org/officeDocument/2006/relationships/hyperlink" Target="https://www.climatexchange.org.uk/media/1459/life_cycle_wind_-_executive_summary_.pdf" TargetMode="External"/><Relationship Id="rId1" Type="http://schemas.openxmlformats.org/officeDocument/2006/relationships/hyperlink" Target="https://www.climatexchange.org.uk/media/1459/life_cycle_wind_-_executive_summary_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nrel.gov/docs/fy13osti/56487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ature.com/articles/d41586-021-02222-1" TargetMode="External"/><Relationship Id="rId2" Type="http://schemas.openxmlformats.org/officeDocument/2006/relationships/hyperlink" Target="https://www.iea.org/reports/the-role-of-critical-minerals-in-clean-energy-transitions" TargetMode="External"/><Relationship Id="rId1" Type="http://schemas.openxmlformats.org/officeDocument/2006/relationships/hyperlink" Target="https://www.iea.org/t_c/termsandcondition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er.gov.au/system/files/PWC%20-%2014.4%20AMP%20Underground%20Cables%20-%2028%20February%202018.pdf" TargetMode="External"/><Relationship Id="rId2" Type="http://schemas.openxmlformats.org/officeDocument/2006/relationships/hyperlink" Target="https://www.nrel.gov/docs/fy17osti/67102.pdf" TargetMode="External"/><Relationship Id="rId1" Type="http://schemas.openxmlformats.org/officeDocument/2006/relationships/hyperlink" Target="https://www.nrel.gov/analysis/tech-footprint.htm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D8C1B-A3B9-4353-82BE-C69783C4B48F}">
  <dimension ref="A1:L108"/>
  <sheetViews>
    <sheetView tabSelected="1" zoomScale="58" zoomScaleNormal="58" workbookViewId="0">
      <selection activeCell="N18" sqref="N18"/>
    </sheetView>
  </sheetViews>
  <sheetFormatPr defaultRowHeight="15.5" x14ac:dyDescent="0.35"/>
  <cols>
    <col min="1" max="1" width="20.54296875" style="1" customWidth="1"/>
    <col min="2" max="2" width="23.1796875" style="1" customWidth="1"/>
    <col min="3" max="3" width="20.453125" style="1" customWidth="1"/>
    <col min="4" max="4" width="20.54296875" style="1" bestFit="1" customWidth="1"/>
    <col min="5" max="5" width="12.54296875" style="1" customWidth="1"/>
    <col min="6" max="6" width="11.54296875" style="1" customWidth="1"/>
    <col min="7" max="7" width="12.81640625" style="1" customWidth="1"/>
    <col min="8" max="8" width="13.6328125" style="1" customWidth="1"/>
    <col min="9" max="10" width="8.7265625" style="1"/>
    <col min="11" max="11" width="12.54296875" style="1" customWidth="1"/>
    <col min="12" max="12" width="15.36328125" style="1" customWidth="1"/>
    <col min="13" max="13" width="11.26953125" style="1" customWidth="1"/>
    <col min="14" max="14" width="12.90625" style="1" customWidth="1"/>
    <col min="15" max="16384" width="8.7265625" style="1"/>
  </cols>
  <sheetData>
    <row r="1" spans="1:8" x14ac:dyDescent="0.35">
      <c r="A1" s="7"/>
      <c r="B1" s="7" t="s">
        <v>2</v>
      </c>
      <c r="C1" s="7" t="s">
        <v>21</v>
      </c>
      <c r="D1" s="7" t="s">
        <v>19</v>
      </c>
      <c r="E1" s="8"/>
      <c r="F1" s="1" t="s">
        <v>37</v>
      </c>
    </row>
    <row r="2" spans="1:8" x14ac:dyDescent="0.35">
      <c r="A2" s="7" t="s">
        <v>29</v>
      </c>
      <c r="B2" s="7" t="s">
        <v>36</v>
      </c>
      <c r="C2" s="7" t="s">
        <v>36</v>
      </c>
      <c r="D2" s="7" t="s">
        <v>36</v>
      </c>
      <c r="E2" s="8"/>
      <c r="F2" s="1">
        <v>1000</v>
      </c>
      <c r="H2" s="9" t="s">
        <v>27</v>
      </c>
    </row>
    <row r="3" spans="1:8" x14ac:dyDescent="0.35">
      <c r="A3" s="7">
        <v>2021</v>
      </c>
      <c r="B3" s="7">
        <v>34899.306389999998</v>
      </c>
      <c r="C3" s="7">
        <v>34899.306389999998</v>
      </c>
      <c r="D3" s="7">
        <v>33605.905530000004</v>
      </c>
      <c r="E3" s="8"/>
    </row>
    <row r="4" spans="1:8" x14ac:dyDescent="0.35">
      <c r="A4" s="7">
        <v>2022</v>
      </c>
      <c r="B4" s="7">
        <v>33079.272720000001</v>
      </c>
      <c r="C4" s="7">
        <v>31107.042720000001</v>
      </c>
      <c r="D4" s="7">
        <v>30473.857759999999</v>
      </c>
      <c r="E4" s="8"/>
    </row>
    <row r="5" spans="1:8" x14ac:dyDescent="0.35">
      <c r="A5" s="7">
        <v>2023</v>
      </c>
      <c r="B5" s="7">
        <v>31244.647529999998</v>
      </c>
      <c r="C5" s="7">
        <v>27300.187529999999</v>
      </c>
      <c r="D5" s="7">
        <v>25890.999530000001</v>
      </c>
      <c r="E5" s="8"/>
    </row>
    <row r="6" spans="1:8" x14ac:dyDescent="0.35">
      <c r="A6" s="7">
        <v>2024</v>
      </c>
      <c r="B6" s="7">
        <v>29377.516599999999</v>
      </c>
      <c r="C6" s="7">
        <v>23460.8266</v>
      </c>
      <c r="D6" s="7">
        <v>21253.986099999998</v>
      </c>
      <c r="E6" s="8"/>
    </row>
    <row r="7" spans="1:8" x14ac:dyDescent="0.35">
      <c r="A7" s="7">
        <v>2025</v>
      </c>
      <c r="B7" s="7">
        <v>27502.95982</v>
      </c>
      <c r="C7" s="7">
        <v>19614.039820000002</v>
      </c>
      <c r="D7" s="7">
        <v>16598.524119999998</v>
      </c>
      <c r="E7" s="8"/>
    </row>
    <row r="8" spans="1:8" x14ac:dyDescent="0.35">
      <c r="A8" s="7">
        <v>2026</v>
      </c>
      <c r="B8" s="7">
        <v>25588.731629999998</v>
      </c>
      <c r="C8" s="7">
        <v>15727.581630000001</v>
      </c>
      <c r="D8" s="7">
        <v>11878.705040000001</v>
      </c>
      <c r="E8" s="8"/>
    </row>
    <row r="9" spans="1:8" x14ac:dyDescent="0.35">
      <c r="A9" s="7">
        <v>2027</v>
      </c>
      <c r="B9" s="7">
        <v>23674.243259999999</v>
      </c>
      <c r="C9" s="7">
        <v>11840.86326</v>
      </c>
      <c r="D9" s="7">
        <v>7150.6393040000003</v>
      </c>
      <c r="E9" s="8"/>
    </row>
    <row r="10" spans="1:8" x14ac:dyDescent="0.35">
      <c r="A10" s="7">
        <v>2028</v>
      </c>
      <c r="B10" s="7">
        <v>21712.917809999999</v>
      </c>
      <c r="C10" s="7">
        <v>7907.3078079999996</v>
      </c>
      <c r="D10" s="7">
        <v>2348.014576</v>
      </c>
      <c r="E10" s="8"/>
    </row>
    <row r="11" spans="1:8" x14ac:dyDescent="0.35">
      <c r="A11" s="7">
        <v>2029</v>
      </c>
      <c r="B11" s="7">
        <v>19758.497859999999</v>
      </c>
      <c r="C11" s="7">
        <v>3980.6578599999998</v>
      </c>
      <c r="D11" s="7">
        <v>0</v>
      </c>
      <c r="E11" s="8"/>
    </row>
    <row r="12" spans="1:8" x14ac:dyDescent="0.35">
      <c r="A12" s="7">
        <v>2030</v>
      </c>
      <c r="B12" s="7">
        <v>17750.075140000001</v>
      </c>
      <c r="C12" s="7">
        <v>0</v>
      </c>
      <c r="D12" s="7">
        <v>0</v>
      </c>
      <c r="E12" s="8"/>
    </row>
    <row r="13" spans="1:8" x14ac:dyDescent="0.35">
      <c r="A13" s="8" t="s">
        <v>26</v>
      </c>
      <c r="B13" s="8">
        <f>SUM(B3:B12)</f>
        <v>264588.16876000003</v>
      </c>
      <c r="C13" s="8">
        <f>SUM(C3:C12)</f>
        <v>175837.81361800001</v>
      </c>
      <c r="D13" s="8">
        <f>SUM(D3:D12)</f>
        <v>149200.63196</v>
      </c>
      <c r="E13" s="8"/>
    </row>
    <row r="14" spans="1:8" x14ac:dyDescent="0.35">
      <c r="A14" s="3" t="s">
        <v>12</v>
      </c>
      <c r="B14" s="3">
        <f>B13*F2</f>
        <v>264588168.76000002</v>
      </c>
      <c r="C14" s="3">
        <f>C13*F2</f>
        <v>175837813.618</v>
      </c>
      <c r="D14" s="3">
        <f>D13*F2</f>
        <v>149200631.96000001</v>
      </c>
      <c r="E14" s="10"/>
    </row>
    <row r="15" spans="1:8" x14ac:dyDescent="0.35">
      <c r="E15" s="10"/>
    </row>
    <row r="16" spans="1:8" x14ac:dyDescent="0.35">
      <c r="A16" s="7"/>
      <c r="B16" s="7" t="s">
        <v>2</v>
      </c>
      <c r="C16" s="7" t="s">
        <v>21</v>
      </c>
      <c r="D16" s="7" t="s">
        <v>19</v>
      </c>
      <c r="E16" s="10"/>
      <c r="F16" s="1" t="s">
        <v>35</v>
      </c>
      <c r="H16" s="9" t="s">
        <v>34</v>
      </c>
    </row>
    <row r="17" spans="1:8" x14ac:dyDescent="0.35">
      <c r="A17" s="7" t="s">
        <v>29</v>
      </c>
      <c r="B17" s="7" t="s">
        <v>33</v>
      </c>
      <c r="C17" s="7" t="s">
        <v>33</v>
      </c>
      <c r="D17" s="7" t="s">
        <v>33</v>
      </c>
      <c r="E17" s="10"/>
      <c r="F17" s="3">
        <v>40</v>
      </c>
    </row>
    <row r="18" spans="1:8" x14ac:dyDescent="0.35">
      <c r="A18" s="7">
        <v>2021</v>
      </c>
      <c r="B18" s="7">
        <v>1849.7721200000001</v>
      </c>
      <c r="C18" s="7">
        <v>1849.7721200000001</v>
      </c>
      <c r="D18" s="7">
        <v>2294.5777640000001</v>
      </c>
      <c r="E18" s="10"/>
    </row>
    <row r="19" spans="1:8" x14ac:dyDescent="0.35">
      <c r="A19" s="7">
        <v>2022</v>
      </c>
      <c r="B19" s="7">
        <v>2913.8755999999998</v>
      </c>
      <c r="C19" s="7">
        <v>2913.8755999999998</v>
      </c>
      <c r="D19" s="7">
        <v>3809.5593199999998</v>
      </c>
      <c r="E19" s="10"/>
    </row>
    <row r="20" spans="1:8" x14ac:dyDescent="0.35">
      <c r="A20" s="7">
        <v>2023</v>
      </c>
      <c r="B20" s="7">
        <v>3981.5619200000001</v>
      </c>
      <c r="C20" s="7">
        <v>3981.5619200000001</v>
      </c>
      <c r="D20" s="7">
        <v>5329.6418240000003</v>
      </c>
      <c r="E20" s="10"/>
    </row>
    <row r="21" spans="1:8" x14ac:dyDescent="0.35">
      <c r="A21" s="7">
        <v>2024</v>
      </c>
      <c r="B21" s="7">
        <v>5070.7452800000001</v>
      </c>
      <c r="C21" s="7">
        <v>5070.7452800000001</v>
      </c>
      <c r="D21" s="7">
        <v>6880.3300159999999</v>
      </c>
      <c r="E21" s="10"/>
    </row>
    <row r="22" spans="1:8" x14ac:dyDescent="0.35">
      <c r="A22" s="7">
        <v>2025</v>
      </c>
      <c r="B22" s="7">
        <v>6156.3458000000001</v>
      </c>
      <c r="C22" s="7">
        <v>6156.3458000000001</v>
      </c>
      <c r="D22" s="7">
        <v>8425.9172600000002</v>
      </c>
      <c r="E22" s="8"/>
    </row>
    <row r="23" spans="1:8" x14ac:dyDescent="0.35">
      <c r="A23" s="7">
        <v>2026</v>
      </c>
      <c r="B23" s="7">
        <v>7270.6090400000003</v>
      </c>
      <c r="C23" s="7">
        <v>7270.6090400000003</v>
      </c>
      <c r="D23" s="7">
        <v>10012.312089999999</v>
      </c>
      <c r="E23" s="8"/>
    </row>
    <row r="24" spans="1:8" x14ac:dyDescent="0.35">
      <c r="A24" s="7">
        <v>2027</v>
      </c>
      <c r="B24" s="7">
        <v>8374.1237600000004</v>
      </c>
      <c r="C24" s="7">
        <v>8374.1237600000004</v>
      </c>
      <c r="D24" s="7">
        <v>11583.404070000001</v>
      </c>
      <c r="E24" s="8"/>
    </row>
    <row r="25" spans="1:8" x14ac:dyDescent="0.35">
      <c r="A25" s="7">
        <v>2028</v>
      </c>
      <c r="B25" s="7">
        <v>9513.4668799999999</v>
      </c>
      <c r="C25" s="7">
        <v>9513.4668799999999</v>
      </c>
      <c r="D25" s="7">
        <v>13205.50554</v>
      </c>
      <c r="E25" s="8"/>
    </row>
    <row r="26" spans="1:8" x14ac:dyDescent="0.35">
      <c r="A26" s="7">
        <v>2029</v>
      </c>
      <c r="B26" s="7">
        <v>10634.8958</v>
      </c>
      <c r="C26" s="7">
        <v>10634.8958</v>
      </c>
      <c r="D26" s="7">
        <v>14802.10226</v>
      </c>
      <c r="E26" s="8"/>
    </row>
    <row r="27" spans="1:8" x14ac:dyDescent="0.35">
      <c r="A27" s="7">
        <v>2030</v>
      </c>
      <c r="B27" s="7">
        <v>11799.318799999999</v>
      </c>
      <c r="C27" s="7">
        <v>11799.318799999999</v>
      </c>
      <c r="D27" s="7">
        <v>16459.910360000002</v>
      </c>
      <c r="E27" s="8"/>
    </row>
    <row r="28" spans="1:8" x14ac:dyDescent="0.35">
      <c r="A28" s="8" t="s">
        <v>26</v>
      </c>
      <c r="B28" s="8">
        <f>SUM(B18:B27)</f>
        <v>67564.714999999997</v>
      </c>
      <c r="C28" s="8">
        <f>SUM(C18:C27)</f>
        <v>67564.714999999997</v>
      </c>
      <c r="D28" s="8">
        <f>SUM(D18:D27)</f>
        <v>92803.260504000005</v>
      </c>
      <c r="E28" s="8"/>
    </row>
    <row r="29" spans="1:8" x14ac:dyDescent="0.35">
      <c r="A29" s="3" t="s">
        <v>12</v>
      </c>
      <c r="B29" s="3">
        <f>B28*F17</f>
        <v>2702588.5999999996</v>
      </c>
      <c r="C29" s="3">
        <f>C28*F17</f>
        <v>2702588.5999999996</v>
      </c>
      <c r="D29" s="3">
        <f>D28*F17</f>
        <v>3712130.4201600002</v>
      </c>
      <c r="E29" s="8"/>
    </row>
    <row r="30" spans="1:8" x14ac:dyDescent="0.35">
      <c r="E30" s="8"/>
    </row>
    <row r="31" spans="1:8" x14ac:dyDescent="0.35">
      <c r="A31" s="7"/>
      <c r="B31" s="7" t="s">
        <v>2</v>
      </c>
      <c r="C31" s="7" t="s">
        <v>21</v>
      </c>
      <c r="D31" s="7" t="s">
        <v>19</v>
      </c>
      <c r="E31" s="8"/>
      <c r="F31" s="1" t="s">
        <v>32</v>
      </c>
    </row>
    <row r="32" spans="1:8" x14ac:dyDescent="0.35">
      <c r="A32" s="7" t="s">
        <v>29</v>
      </c>
      <c r="B32" s="7" t="s">
        <v>31</v>
      </c>
      <c r="C32" s="7" t="s">
        <v>31</v>
      </c>
      <c r="D32" s="7" t="s">
        <v>31</v>
      </c>
      <c r="E32" s="8"/>
      <c r="F32" s="3">
        <v>15</v>
      </c>
      <c r="H32" s="9" t="s">
        <v>27</v>
      </c>
    </row>
    <row r="33" spans="1:8" x14ac:dyDescent="0.35">
      <c r="A33" s="7">
        <v>2021</v>
      </c>
      <c r="B33" s="7">
        <v>7156.9214920000004</v>
      </c>
      <c r="C33" s="7">
        <v>7156.9214920000004</v>
      </c>
      <c r="D33" s="7">
        <v>8005.5167080000001</v>
      </c>
      <c r="E33" s="8"/>
    </row>
    <row r="34" spans="1:8" x14ac:dyDescent="0.35">
      <c r="A34" s="7">
        <v>2022</v>
      </c>
      <c r="B34" s="7">
        <v>7912.8516760000002</v>
      </c>
      <c r="C34" s="7">
        <v>7912.8516760000002</v>
      </c>
      <c r="D34" s="7">
        <v>9622.5829240000003</v>
      </c>
      <c r="E34" s="8"/>
    </row>
    <row r="35" spans="1:8" x14ac:dyDescent="0.35">
      <c r="A35" s="7">
        <v>2023</v>
      </c>
      <c r="B35" s="7">
        <v>8679.7905520000004</v>
      </c>
      <c r="C35" s="7">
        <v>8679.7905520000004</v>
      </c>
      <c r="D35" s="7">
        <v>11263.19865</v>
      </c>
      <c r="E35" s="8"/>
    </row>
    <row r="36" spans="1:8" x14ac:dyDescent="0.35">
      <c r="A36" s="7">
        <v>2024</v>
      </c>
      <c r="B36" s="7">
        <v>9457.73812</v>
      </c>
      <c r="C36" s="7">
        <v>9457.73812</v>
      </c>
      <c r="D36" s="7">
        <v>12927.363880000001</v>
      </c>
      <c r="E36" s="8"/>
    </row>
    <row r="37" spans="1:8" x14ac:dyDescent="0.35">
      <c r="A37" s="7">
        <v>2025</v>
      </c>
      <c r="B37" s="7">
        <v>10246.694380000001</v>
      </c>
      <c r="C37" s="7">
        <v>10246.694380000001</v>
      </c>
      <c r="D37" s="7">
        <v>14615.07862</v>
      </c>
      <c r="E37" s="8"/>
    </row>
    <row r="38" spans="1:8" x14ac:dyDescent="0.35">
      <c r="A38" s="7">
        <v>2026</v>
      </c>
      <c r="B38" s="7">
        <v>11046.65933</v>
      </c>
      <c r="C38" s="7">
        <v>11046.65933</v>
      </c>
      <c r="D38" s="7">
        <v>16326.34287</v>
      </c>
      <c r="E38" s="8"/>
    </row>
    <row r="39" spans="1:8" x14ac:dyDescent="0.35">
      <c r="A39" s="7">
        <v>2027</v>
      </c>
      <c r="B39" s="7">
        <v>11857.63298</v>
      </c>
      <c r="C39" s="7">
        <v>11857.63298</v>
      </c>
      <c r="D39" s="7">
        <v>18061.156620000002</v>
      </c>
      <c r="E39" s="8"/>
    </row>
    <row r="40" spans="1:8" x14ac:dyDescent="0.35">
      <c r="A40" s="7">
        <v>2028</v>
      </c>
      <c r="B40" s="7">
        <v>12679.615309999999</v>
      </c>
      <c r="C40" s="7">
        <v>12679.615309999999</v>
      </c>
      <c r="D40" s="7">
        <v>19819.51989</v>
      </c>
      <c r="E40" s="8"/>
    </row>
    <row r="41" spans="1:8" x14ac:dyDescent="0.35">
      <c r="A41" s="7">
        <v>2029</v>
      </c>
      <c r="B41" s="7">
        <v>13512.60634</v>
      </c>
      <c r="C41" s="7">
        <v>13512.60634</v>
      </c>
      <c r="D41" s="7">
        <v>21601.432659999999</v>
      </c>
      <c r="E41" s="8"/>
    </row>
    <row r="42" spans="1:8" x14ac:dyDescent="0.35">
      <c r="A42" s="7">
        <v>2030</v>
      </c>
      <c r="B42" s="7">
        <v>14356.60606</v>
      </c>
      <c r="C42" s="7">
        <v>14356.60606</v>
      </c>
      <c r="D42" s="7">
        <v>23406.894939999998</v>
      </c>
      <c r="E42" s="8"/>
    </row>
    <row r="43" spans="1:8" x14ac:dyDescent="0.35">
      <c r="A43" s="8" t="s">
        <v>26</v>
      </c>
      <c r="B43" s="8">
        <f>SUM(B33:B42)</f>
        <v>106907.11624</v>
      </c>
      <c r="C43" s="8">
        <f>SUM(C33:C42)</f>
        <v>106907.11624</v>
      </c>
      <c r="D43" s="8">
        <f>SUM(D33:D42)</f>
        <v>155649.08776199998</v>
      </c>
      <c r="E43" s="8"/>
    </row>
    <row r="44" spans="1:8" x14ac:dyDescent="0.35">
      <c r="A44" s="3" t="s">
        <v>12</v>
      </c>
      <c r="B44" s="3">
        <f>B43*F32</f>
        <v>1603606.7436000002</v>
      </c>
      <c r="C44" s="3">
        <f>C43*F32</f>
        <v>1603606.7436000002</v>
      </c>
      <c r="D44" s="3">
        <f>D43*F32</f>
        <v>2334736.3164299997</v>
      </c>
    </row>
    <row r="46" spans="1:8" x14ac:dyDescent="0.35">
      <c r="A46" s="8"/>
      <c r="B46" s="8"/>
      <c r="C46" s="8"/>
      <c r="D46" s="7" t="s">
        <v>19</v>
      </c>
      <c r="E46" s="8"/>
      <c r="F46" s="1" t="s">
        <v>30</v>
      </c>
    </row>
    <row r="47" spans="1:8" x14ac:dyDescent="0.35">
      <c r="A47" s="7" t="s">
        <v>29</v>
      </c>
      <c r="B47" s="8"/>
      <c r="C47" s="8"/>
      <c r="D47" s="7" t="s">
        <v>28</v>
      </c>
      <c r="E47" s="8"/>
      <c r="F47" s="1">
        <v>12</v>
      </c>
      <c r="H47" s="9" t="s">
        <v>27</v>
      </c>
    </row>
    <row r="48" spans="1:8" x14ac:dyDescent="0.35">
      <c r="A48" s="7">
        <v>2021</v>
      </c>
      <c r="B48" s="8"/>
      <c r="C48" s="8"/>
      <c r="D48" s="7">
        <v>0</v>
      </c>
      <c r="E48" s="8"/>
    </row>
    <row r="49" spans="1:8" x14ac:dyDescent="0.35">
      <c r="A49" s="7">
        <v>2022</v>
      </c>
      <c r="B49" s="8"/>
      <c r="C49" s="8"/>
      <c r="D49" s="7">
        <v>0</v>
      </c>
      <c r="E49" s="8"/>
    </row>
    <row r="50" spans="1:8" x14ac:dyDescent="0.35">
      <c r="A50" s="7">
        <v>2023</v>
      </c>
      <c r="B50" s="8"/>
      <c r="C50" s="8"/>
      <c r="D50" s="7">
        <v>1422.16</v>
      </c>
      <c r="E50" s="8"/>
    </row>
    <row r="51" spans="1:8" x14ac:dyDescent="0.35">
      <c r="A51" s="7">
        <v>2024</v>
      </c>
      <c r="B51" s="8"/>
      <c r="C51" s="8"/>
      <c r="D51" s="7">
        <v>2844.32</v>
      </c>
      <c r="E51" s="8"/>
    </row>
    <row r="52" spans="1:8" x14ac:dyDescent="0.35">
      <c r="A52" s="7">
        <v>2025</v>
      </c>
      <c r="B52" s="8"/>
      <c r="C52" s="8"/>
      <c r="D52" s="7">
        <v>4266.4799999999996</v>
      </c>
      <c r="E52" s="8"/>
    </row>
    <row r="53" spans="1:8" x14ac:dyDescent="0.35">
      <c r="A53" s="7">
        <v>2026</v>
      </c>
      <c r="B53" s="8"/>
      <c r="C53" s="8"/>
      <c r="D53" s="7">
        <v>5688.64</v>
      </c>
      <c r="E53" s="8"/>
    </row>
    <row r="54" spans="1:8" x14ac:dyDescent="0.35">
      <c r="A54" s="7">
        <v>2027</v>
      </c>
      <c r="B54" s="8"/>
      <c r="C54" s="8"/>
      <c r="D54" s="7">
        <v>7110.8</v>
      </c>
      <c r="E54" s="8"/>
    </row>
    <row r="55" spans="1:8" x14ac:dyDescent="0.35">
      <c r="A55" s="7">
        <v>2028</v>
      </c>
      <c r="B55" s="8"/>
      <c r="C55" s="8"/>
      <c r="D55" s="7">
        <v>8532.9599999999991</v>
      </c>
      <c r="E55" s="8"/>
    </row>
    <row r="56" spans="1:8" x14ac:dyDescent="0.35">
      <c r="A56" s="7">
        <v>2029</v>
      </c>
      <c r="B56" s="8"/>
      <c r="C56" s="8"/>
      <c r="D56" s="7">
        <v>9955.1200000000008</v>
      </c>
    </row>
    <row r="57" spans="1:8" x14ac:dyDescent="0.35">
      <c r="A57" s="7">
        <v>2030</v>
      </c>
      <c r="B57" s="8"/>
      <c r="C57" s="8"/>
      <c r="D57" s="7">
        <v>11377.24272</v>
      </c>
    </row>
    <row r="58" spans="1:8" x14ac:dyDescent="0.35">
      <c r="A58" s="8" t="s">
        <v>26</v>
      </c>
      <c r="B58" s="8"/>
      <c r="C58" s="8"/>
      <c r="D58" s="8">
        <f>SUM(D48:D57)</f>
        <v>51197.722719999998</v>
      </c>
    </row>
    <row r="59" spans="1:8" x14ac:dyDescent="0.35">
      <c r="A59" s="3" t="s">
        <v>12</v>
      </c>
      <c r="B59" s="3"/>
      <c r="C59" s="3"/>
      <c r="D59" s="3">
        <f>D58*F47</f>
        <v>614372.67264</v>
      </c>
    </row>
    <row r="61" spans="1:8" x14ac:dyDescent="0.35">
      <c r="A61" s="1" t="s">
        <v>25</v>
      </c>
    </row>
    <row r="62" spans="1:8" x14ac:dyDescent="0.35">
      <c r="A62" s="1" t="s">
        <v>24</v>
      </c>
    </row>
    <row r="63" spans="1:8" x14ac:dyDescent="0.35">
      <c r="A63" s="3"/>
      <c r="B63" s="3"/>
      <c r="C63" s="3"/>
      <c r="D63" s="3"/>
      <c r="E63" s="3"/>
      <c r="F63" s="3"/>
    </row>
    <row r="64" spans="1:8" x14ac:dyDescent="0.35">
      <c r="A64" s="7" t="s">
        <v>23</v>
      </c>
      <c r="B64" s="1" t="s">
        <v>22</v>
      </c>
      <c r="C64" s="7" t="s">
        <v>21</v>
      </c>
      <c r="D64" s="7" t="s">
        <v>20</v>
      </c>
      <c r="E64" s="7" t="s">
        <v>19</v>
      </c>
      <c r="F64" s="1" t="s">
        <v>18</v>
      </c>
      <c r="H64" s="1" t="s">
        <v>17</v>
      </c>
    </row>
    <row r="65" spans="1:8" x14ac:dyDescent="0.35">
      <c r="A65" s="7">
        <v>300</v>
      </c>
      <c r="B65" s="1">
        <f>A65*4*365</f>
        <v>438000</v>
      </c>
      <c r="C65" s="6">
        <v>300</v>
      </c>
      <c r="D65" s="1">
        <f>C65*4*365</f>
        <v>438000</v>
      </c>
      <c r="E65" s="6">
        <v>300</v>
      </c>
      <c r="F65" s="1">
        <f>E65*4*365</f>
        <v>438000</v>
      </c>
      <c r="H65" s="1">
        <v>100</v>
      </c>
    </row>
    <row r="66" spans="1:8" x14ac:dyDescent="0.35">
      <c r="A66" s="3">
        <v>20</v>
      </c>
      <c r="B66" s="1">
        <f>A66*4*365</f>
        <v>29200</v>
      </c>
      <c r="C66" s="6">
        <v>5</v>
      </c>
      <c r="D66" s="1">
        <f>C66*4*365</f>
        <v>7300</v>
      </c>
      <c r="E66" s="6">
        <v>5</v>
      </c>
      <c r="F66" s="1">
        <f>E66*4*365</f>
        <v>7300</v>
      </c>
    </row>
    <row r="67" spans="1:8" x14ac:dyDescent="0.35">
      <c r="A67" s="3">
        <v>5</v>
      </c>
      <c r="B67" s="1">
        <f>A67*4*365</f>
        <v>7300</v>
      </c>
      <c r="C67" s="6">
        <v>450</v>
      </c>
      <c r="D67" s="1">
        <f>C67*4*365</f>
        <v>657000</v>
      </c>
      <c r="E67" s="6">
        <v>450</v>
      </c>
      <c r="F67" s="1">
        <f>E67*4*365</f>
        <v>657000</v>
      </c>
    </row>
    <row r="68" spans="1:8" x14ac:dyDescent="0.35">
      <c r="A68" s="3"/>
      <c r="C68" s="6">
        <v>350</v>
      </c>
      <c r="D68" s="1">
        <f>C68*4*365</f>
        <v>511000</v>
      </c>
      <c r="E68" s="6">
        <v>350</v>
      </c>
      <c r="F68" s="1">
        <f>E68*4*365</f>
        <v>511000</v>
      </c>
    </row>
    <row r="69" spans="1:8" x14ac:dyDescent="0.35">
      <c r="A69" s="3"/>
      <c r="C69" s="6">
        <v>350</v>
      </c>
      <c r="D69" s="1">
        <f>C69*4*365</f>
        <v>511000</v>
      </c>
      <c r="E69" s="6">
        <v>350</v>
      </c>
      <c r="F69" s="1">
        <f>E69*4*365</f>
        <v>511000</v>
      </c>
    </row>
    <row r="70" spans="1:8" x14ac:dyDescent="0.35">
      <c r="A70" s="3"/>
      <c r="C70" s="6">
        <v>200</v>
      </c>
      <c r="D70" s="1">
        <f>C70*4*365</f>
        <v>292000</v>
      </c>
      <c r="E70" s="6">
        <v>200</v>
      </c>
      <c r="F70" s="1">
        <f>E70*4*365</f>
        <v>292000</v>
      </c>
    </row>
    <row r="71" spans="1:8" x14ac:dyDescent="0.35">
      <c r="A71" s="3"/>
      <c r="C71" s="3"/>
      <c r="E71" s="6">
        <v>600</v>
      </c>
      <c r="F71" s="1">
        <f>E71*4*365</f>
        <v>876000</v>
      </c>
    </row>
    <row r="72" spans="1:8" x14ac:dyDescent="0.35">
      <c r="A72" s="3"/>
      <c r="C72" s="3"/>
      <c r="E72" s="6">
        <v>300</v>
      </c>
      <c r="F72" s="1">
        <f>E72*4*365</f>
        <v>438000</v>
      </c>
    </row>
    <row r="73" spans="1:8" x14ac:dyDescent="0.35">
      <c r="A73" s="3"/>
      <c r="C73" s="3"/>
      <c r="E73" s="6">
        <v>240</v>
      </c>
      <c r="F73" s="1">
        <f>E73*4*365</f>
        <v>350400</v>
      </c>
    </row>
    <row r="74" spans="1:8" x14ac:dyDescent="0.35">
      <c r="A74" s="3"/>
      <c r="C74" s="3"/>
      <c r="E74" s="6">
        <v>200</v>
      </c>
      <c r="F74" s="1">
        <f>E74*4*365</f>
        <v>292000</v>
      </c>
    </row>
    <row r="75" spans="1:8" x14ac:dyDescent="0.35">
      <c r="A75" s="3"/>
      <c r="C75" s="3"/>
      <c r="E75" s="6">
        <v>350</v>
      </c>
      <c r="F75" s="1">
        <f>E75*4*365</f>
        <v>511000</v>
      </c>
    </row>
    <row r="76" spans="1:8" x14ac:dyDescent="0.35">
      <c r="A76" s="1" t="s">
        <v>11</v>
      </c>
      <c r="B76" s="1">
        <f>SUM(B65:B67)</f>
        <v>474500</v>
      </c>
      <c r="D76" s="1">
        <f>SUM(D65:D70)</f>
        <v>2416300</v>
      </c>
      <c r="F76" s="1">
        <f>SUM(F65:F75)</f>
        <v>4883700</v>
      </c>
    </row>
    <row r="77" spans="1:8" x14ac:dyDescent="0.35">
      <c r="A77" s="3" t="s">
        <v>12</v>
      </c>
      <c r="B77" s="1">
        <f>B76*H65/1000</f>
        <v>47450</v>
      </c>
      <c r="D77" s="1">
        <f>D76*H65/1000</f>
        <v>241630</v>
      </c>
      <c r="F77" s="1">
        <f>F76*H65/1000</f>
        <v>488370</v>
      </c>
    </row>
    <row r="85" spans="1:12" x14ac:dyDescent="0.35">
      <c r="A85" s="1" t="s">
        <v>16</v>
      </c>
    </row>
    <row r="86" spans="1:12" x14ac:dyDescent="0.35">
      <c r="A86" s="5" t="s">
        <v>2</v>
      </c>
      <c r="B86" s="5"/>
      <c r="C86" s="5"/>
      <c r="D86" s="5"/>
      <c r="E86" s="5" t="s">
        <v>1</v>
      </c>
      <c r="F86" s="5"/>
      <c r="G86" s="5"/>
      <c r="H86" s="5"/>
      <c r="I86" s="5" t="s">
        <v>0</v>
      </c>
      <c r="J86" s="5"/>
      <c r="K86" s="5"/>
      <c r="L86" s="5"/>
    </row>
    <row r="87" spans="1:12" x14ac:dyDescent="0.35">
      <c r="A87" s="3" t="s">
        <v>15</v>
      </c>
      <c r="B87" s="3" t="s">
        <v>14</v>
      </c>
      <c r="C87" s="3" t="s">
        <v>13</v>
      </c>
      <c r="D87" s="3" t="s">
        <v>12</v>
      </c>
      <c r="E87" s="3" t="s">
        <v>15</v>
      </c>
      <c r="F87" s="3" t="s">
        <v>14</v>
      </c>
      <c r="G87" s="3" t="s">
        <v>13</v>
      </c>
      <c r="H87" s="3" t="s">
        <v>12</v>
      </c>
      <c r="I87" s="3" t="s">
        <v>15</v>
      </c>
      <c r="J87" s="3" t="s">
        <v>14</v>
      </c>
      <c r="K87" s="3" t="s">
        <v>13</v>
      </c>
      <c r="L87" s="3" t="s">
        <v>12</v>
      </c>
    </row>
    <row r="88" spans="1:12" x14ac:dyDescent="0.35">
      <c r="A88" s="3">
        <v>220</v>
      </c>
      <c r="B88" s="4">
        <v>95</v>
      </c>
      <c r="C88" s="3">
        <v>280</v>
      </c>
      <c r="D88" s="3">
        <f>B88*C88</f>
        <v>26600</v>
      </c>
      <c r="E88" s="3">
        <v>500</v>
      </c>
      <c r="F88" s="4">
        <v>340</v>
      </c>
      <c r="G88" s="3">
        <v>490</v>
      </c>
      <c r="H88" s="3">
        <f>F88*G88</f>
        <v>166600</v>
      </c>
      <c r="I88" s="3">
        <v>220</v>
      </c>
      <c r="J88" s="3">
        <v>230</v>
      </c>
      <c r="K88" s="3">
        <v>280</v>
      </c>
      <c r="L88" s="3">
        <f>J88*K88</f>
        <v>64400</v>
      </c>
    </row>
    <row r="89" spans="1:12" x14ac:dyDescent="0.35">
      <c r="A89" s="3">
        <v>500</v>
      </c>
      <c r="B89" s="3">
        <v>85</v>
      </c>
      <c r="C89" s="3">
        <v>490</v>
      </c>
      <c r="D89" s="3">
        <f>B89*C89</f>
        <v>41650</v>
      </c>
      <c r="E89" s="3">
        <v>500</v>
      </c>
      <c r="F89" s="4">
        <v>1800</v>
      </c>
      <c r="G89" s="3">
        <v>490</v>
      </c>
      <c r="H89" s="3">
        <f>F89*G89</f>
        <v>882000</v>
      </c>
      <c r="I89" s="3">
        <v>220</v>
      </c>
      <c r="J89" s="3">
        <v>43</v>
      </c>
      <c r="K89" s="3">
        <v>280</v>
      </c>
      <c r="L89" s="3">
        <f>J89*K89</f>
        <v>12040</v>
      </c>
    </row>
    <row r="90" spans="1:12" x14ac:dyDescent="0.35">
      <c r="A90" s="3">
        <v>500</v>
      </c>
      <c r="B90" s="4">
        <v>440</v>
      </c>
      <c r="C90" s="3">
        <v>490</v>
      </c>
      <c r="D90" s="3">
        <f>B90*C90</f>
        <v>215600</v>
      </c>
      <c r="E90" s="3">
        <v>500</v>
      </c>
      <c r="F90" s="4">
        <v>3000</v>
      </c>
      <c r="G90" s="3">
        <v>490</v>
      </c>
      <c r="H90" s="3">
        <f>F90*G90</f>
        <v>1470000</v>
      </c>
      <c r="I90" s="3">
        <v>500</v>
      </c>
      <c r="J90" s="3">
        <v>130</v>
      </c>
      <c r="K90" s="3">
        <v>490</v>
      </c>
      <c r="L90" s="3">
        <f>J90*K90</f>
        <v>63700</v>
      </c>
    </row>
    <row r="91" spans="1:12" x14ac:dyDescent="0.35">
      <c r="A91" s="3">
        <v>500</v>
      </c>
      <c r="B91" s="4">
        <v>605</v>
      </c>
      <c r="C91" s="3">
        <v>490</v>
      </c>
      <c r="D91" s="3">
        <f>B91*C91</f>
        <v>296450</v>
      </c>
      <c r="E91" s="3">
        <v>220</v>
      </c>
      <c r="F91" s="4">
        <v>95</v>
      </c>
      <c r="G91" s="3">
        <v>280</v>
      </c>
      <c r="H91" s="3">
        <f>F91*G91</f>
        <v>26600</v>
      </c>
      <c r="I91" s="3">
        <v>220</v>
      </c>
      <c r="J91" s="4">
        <v>95</v>
      </c>
      <c r="K91" s="3">
        <v>280</v>
      </c>
      <c r="L91" s="3">
        <f>J91*K91</f>
        <v>26600</v>
      </c>
    </row>
    <row r="92" spans="1:12" x14ac:dyDescent="0.35">
      <c r="A92" s="3">
        <v>300</v>
      </c>
      <c r="B92" s="4">
        <v>605</v>
      </c>
      <c r="C92" s="3">
        <v>280</v>
      </c>
      <c r="D92" s="3">
        <f>B92*C92</f>
        <v>169400</v>
      </c>
      <c r="E92" s="3">
        <v>500</v>
      </c>
      <c r="F92" s="3">
        <v>85</v>
      </c>
      <c r="G92" s="3">
        <v>490</v>
      </c>
      <c r="H92" s="3">
        <f>F92*G92</f>
        <v>41650</v>
      </c>
      <c r="I92" s="3">
        <v>500</v>
      </c>
      <c r="J92" s="3">
        <v>85</v>
      </c>
      <c r="K92" s="3">
        <v>490</v>
      </c>
      <c r="L92" s="3">
        <f>J92*K92</f>
        <v>41650</v>
      </c>
    </row>
    <row r="93" spans="1:12" x14ac:dyDescent="0.35">
      <c r="A93" s="3"/>
      <c r="B93" s="3"/>
      <c r="C93" s="3"/>
      <c r="D93" s="3"/>
      <c r="E93" s="3">
        <v>500</v>
      </c>
      <c r="F93" s="4">
        <v>440</v>
      </c>
      <c r="G93" s="3">
        <v>490</v>
      </c>
      <c r="H93" s="3">
        <f>F93*G93</f>
        <v>215600</v>
      </c>
      <c r="I93" s="3">
        <v>500</v>
      </c>
      <c r="J93" s="4">
        <v>440</v>
      </c>
      <c r="K93" s="3">
        <v>490</v>
      </c>
      <c r="L93" s="3">
        <f>J93*K93</f>
        <v>215600</v>
      </c>
    </row>
    <row r="94" spans="1:12" x14ac:dyDescent="0.35">
      <c r="A94" s="3"/>
      <c r="B94" s="3"/>
      <c r="C94" s="3"/>
      <c r="D94" s="3"/>
      <c r="E94" s="3">
        <v>500</v>
      </c>
      <c r="F94" s="4">
        <v>605</v>
      </c>
      <c r="G94" s="3">
        <v>490</v>
      </c>
      <c r="H94" s="3">
        <f>F94*G94</f>
        <v>296450</v>
      </c>
      <c r="I94" s="3">
        <v>500</v>
      </c>
      <c r="J94" s="4">
        <v>605</v>
      </c>
      <c r="K94" s="3">
        <v>490</v>
      </c>
      <c r="L94" s="3">
        <f>J94*K94</f>
        <v>296450</v>
      </c>
    </row>
    <row r="95" spans="1:12" x14ac:dyDescent="0.35">
      <c r="A95" s="3"/>
      <c r="B95" s="3"/>
      <c r="C95" s="3"/>
      <c r="D95" s="3"/>
      <c r="E95" s="3">
        <v>300</v>
      </c>
      <c r="F95" s="4">
        <v>605</v>
      </c>
      <c r="G95" s="3">
        <v>280</v>
      </c>
      <c r="H95" s="3">
        <f>F95*G95</f>
        <v>169400</v>
      </c>
      <c r="I95" s="3">
        <v>300</v>
      </c>
      <c r="J95" s="4">
        <v>605</v>
      </c>
      <c r="K95" s="3">
        <v>280</v>
      </c>
      <c r="L95" s="3">
        <f>J95*K95</f>
        <v>169400</v>
      </c>
    </row>
    <row r="96" spans="1:12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35">
      <c r="A97" s="3" t="s">
        <v>11</v>
      </c>
      <c r="B97" s="3"/>
      <c r="C97" s="3"/>
      <c r="D97" s="3">
        <f>SUM(D88:D92)</f>
        <v>749700</v>
      </c>
      <c r="E97" s="3"/>
      <c r="F97" s="3"/>
      <c r="G97" s="3"/>
      <c r="H97" s="3">
        <f>SUM(H88:H95)</f>
        <v>3268300</v>
      </c>
      <c r="I97" s="3"/>
      <c r="J97" s="3"/>
      <c r="K97" s="3"/>
      <c r="L97" s="3">
        <f>SUM(L88:L95)</f>
        <v>889840</v>
      </c>
    </row>
    <row r="101" spans="1:12" x14ac:dyDescent="0.35">
      <c r="A101" s="3" t="s">
        <v>10</v>
      </c>
      <c r="B101" s="3" t="s">
        <v>9</v>
      </c>
      <c r="C101" s="3" t="s">
        <v>8</v>
      </c>
    </row>
    <row r="102" spans="1:12" x14ac:dyDescent="0.35">
      <c r="A102" s="3">
        <f>(B14+B29+B44+B77+D97)/1000</f>
        <v>269691.5141036</v>
      </c>
      <c r="B102" s="3">
        <f>(C14+C29+C44+D77+H97)/1000</f>
        <v>183653.93896160001</v>
      </c>
      <c r="C102" s="3">
        <f>(D14+D29+D44+D59+F77+L97)/1000</f>
        <v>157240.08136923</v>
      </c>
    </row>
    <row r="104" spans="1:12" x14ac:dyDescent="0.35">
      <c r="A104" s="1" t="s">
        <v>7</v>
      </c>
    </row>
    <row r="105" spans="1:12" x14ac:dyDescent="0.35">
      <c r="A105" s="1">
        <f>A102-B14/1000</f>
        <v>5103.3453435999691</v>
      </c>
      <c r="B105" s="1">
        <f>B102-C14/1000</f>
        <v>7816.125343599997</v>
      </c>
      <c r="C105" s="1">
        <f>C102-D14/1000</f>
        <v>8039.449409230001</v>
      </c>
      <c r="E105" s="1" t="s">
        <v>6</v>
      </c>
      <c r="F105" s="1" t="s">
        <v>5</v>
      </c>
      <c r="G105" s="1" t="s">
        <v>4</v>
      </c>
    </row>
    <row r="106" spans="1:12" x14ac:dyDescent="0.35">
      <c r="A106" s="1" t="s">
        <v>3</v>
      </c>
      <c r="E106" s="1" t="s">
        <v>2</v>
      </c>
      <c r="F106" s="2">
        <f>A105</f>
        <v>5103.3453435999691</v>
      </c>
      <c r="G106" s="2">
        <f>A107</f>
        <v>270221.98356072803</v>
      </c>
    </row>
    <row r="107" spans="1:12" x14ac:dyDescent="0.35">
      <c r="A107" s="1">
        <f>A102+(1.52*10*$B$3)/1000</f>
        <v>270221.98356072803</v>
      </c>
      <c r="B107" s="1">
        <f>B102+(1.52*10*$B$3)/1000</f>
        <v>184184.40841872801</v>
      </c>
      <c r="C107" s="1">
        <f>C102+(1.52*10*$B$3)/1000</f>
        <v>157770.550826358</v>
      </c>
      <c r="E107" s="1" t="s">
        <v>1</v>
      </c>
      <c r="F107" s="1">
        <f>B105</f>
        <v>7816.125343599997</v>
      </c>
      <c r="G107" s="1">
        <f>B107</f>
        <v>184184.40841872801</v>
      </c>
    </row>
    <row r="108" spans="1:12" x14ac:dyDescent="0.35">
      <c r="E108" s="1" t="s">
        <v>0</v>
      </c>
      <c r="F108" s="1">
        <f>C105</f>
        <v>8039.449409230001</v>
      </c>
      <c r="G108" s="1">
        <f>C107</f>
        <v>157770.550826358</v>
      </c>
    </row>
  </sheetData>
  <mergeCells count="3">
    <mergeCell ref="A86:D86"/>
    <mergeCell ref="E86:H86"/>
    <mergeCell ref="I86:L86"/>
  </mergeCells>
  <hyperlinks>
    <hyperlink ref="H2" r:id="rId1" xr:uid="{0520338A-B996-405A-84AE-1D1F7902C3FB}"/>
    <hyperlink ref="H32" r:id="rId2" xr:uid="{B84E93B1-3525-4D38-8726-AD57316560F7}"/>
    <hyperlink ref="H47" r:id="rId3" xr:uid="{FFCCF6AC-0C07-4CF8-A9FA-4F7CC1F2EC13}"/>
    <hyperlink ref="H16" r:id="rId4" xr:uid="{9CD2D2BB-9195-4588-8CB3-7EAF66AEE8A1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46D92-1FEE-4411-9C0A-95EED370147A}">
  <dimension ref="A2:AE56"/>
  <sheetViews>
    <sheetView zoomScale="50" zoomScaleNormal="40" workbookViewId="0">
      <selection activeCell="N18" sqref="N18"/>
    </sheetView>
  </sheetViews>
  <sheetFormatPr defaultRowHeight="15.5" x14ac:dyDescent="0.35"/>
  <cols>
    <col min="1" max="1" width="19.1796875" style="1" bestFit="1" customWidth="1"/>
    <col min="2" max="2" width="16.453125" style="1" bestFit="1" customWidth="1"/>
    <col min="3" max="3" width="12.54296875" style="1" bestFit="1" customWidth="1"/>
    <col min="4" max="4" width="12.7265625" style="1" bestFit="1" customWidth="1"/>
    <col min="5" max="5" width="9.54296875" style="1" bestFit="1" customWidth="1"/>
    <col min="6" max="6" width="11.90625" style="1" bestFit="1" customWidth="1"/>
    <col min="7" max="7" width="12.453125" style="1" bestFit="1" customWidth="1"/>
    <col min="8" max="8" width="19.7265625" style="1" bestFit="1" customWidth="1"/>
    <col min="9" max="9" width="14.08984375" style="1" bestFit="1" customWidth="1"/>
    <col min="10" max="10" width="9.90625" style="1" bestFit="1" customWidth="1"/>
    <col min="11" max="11" width="9.54296875" style="1" bestFit="1" customWidth="1"/>
    <col min="12" max="12" width="11.90625" style="1" bestFit="1" customWidth="1"/>
    <col min="13" max="25" width="8.7265625" style="1"/>
    <col min="26" max="28" width="12" style="1" bestFit="1" customWidth="1"/>
    <col min="29" max="29" width="9.54296875" style="1" bestFit="1" customWidth="1"/>
    <col min="30" max="16384" width="8.7265625" style="1"/>
  </cols>
  <sheetData>
    <row r="2" spans="1:31" x14ac:dyDescent="0.35">
      <c r="A2" s="67" t="s">
        <v>89</v>
      </c>
    </row>
    <row r="3" spans="1:31" x14ac:dyDescent="0.35">
      <c r="A3" s="1" t="s">
        <v>87</v>
      </c>
      <c r="B3" s="1" t="s">
        <v>69</v>
      </c>
      <c r="C3" s="1" t="s">
        <v>67</v>
      </c>
      <c r="D3" s="1" t="s">
        <v>65</v>
      </c>
      <c r="E3" s="1" t="s">
        <v>63</v>
      </c>
      <c r="F3" s="1" t="s">
        <v>61</v>
      </c>
      <c r="G3" s="1" t="s">
        <v>59</v>
      </c>
      <c r="H3" s="1" t="s">
        <v>58</v>
      </c>
      <c r="I3" s="1" t="s">
        <v>56</v>
      </c>
      <c r="J3" s="1" t="s">
        <v>55</v>
      </c>
      <c r="K3" s="1" t="s">
        <v>52</v>
      </c>
      <c r="M3" s="9" t="s">
        <v>88</v>
      </c>
      <c r="Y3" s="1" t="s">
        <v>87</v>
      </c>
      <c r="Z3" s="1" t="s">
        <v>78</v>
      </c>
      <c r="AA3" s="1" t="s">
        <v>79</v>
      </c>
      <c r="AB3" s="1" t="s">
        <v>66</v>
      </c>
      <c r="AC3" s="1" t="s">
        <v>86</v>
      </c>
      <c r="AD3" s="1" t="s">
        <v>85</v>
      </c>
      <c r="AE3" s="1" t="s">
        <v>84</v>
      </c>
    </row>
    <row r="4" spans="1:31" x14ac:dyDescent="0.35">
      <c r="A4" s="1" t="s">
        <v>78</v>
      </c>
      <c r="B4" s="1">
        <v>8000</v>
      </c>
      <c r="C4" s="1">
        <v>240</v>
      </c>
      <c r="D4" s="1">
        <v>790</v>
      </c>
      <c r="E4" s="1">
        <v>0</v>
      </c>
      <c r="F4" s="1">
        <v>525</v>
      </c>
      <c r="G4" s="1">
        <v>109</v>
      </c>
      <c r="H4" s="1">
        <v>5500</v>
      </c>
      <c r="I4" s="1">
        <v>239</v>
      </c>
      <c r="J4" s="1">
        <v>0</v>
      </c>
      <c r="K4" s="1">
        <v>6</v>
      </c>
      <c r="Y4" s="1" t="s">
        <v>69</v>
      </c>
      <c r="Z4" s="1">
        <v>8000</v>
      </c>
      <c r="AA4" s="1">
        <v>2900</v>
      </c>
      <c r="AB4" s="1">
        <v>2822.1</v>
      </c>
      <c r="AC4" s="1">
        <v>1473</v>
      </c>
      <c r="AD4" s="1">
        <v>1150</v>
      </c>
      <c r="AE4" s="1">
        <v>1100</v>
      </c>
    </row>
    <row r="5" spans="1:31" x14ac:dyDescent="0.35">
      <c r="A5" s="1" t="s">
        <v>79</v>
      </c>
      <c r="B5" s="1">
        <v>2900</v>
      </c>
      <c r="C5" s="1">
        <v>403.5</v>
      </c>
      <c r="D5" s="1">
        <v>780</v>
      </c>
      <c r="E5" s="1">
        <v>0</v>
      </c>
      <c r="F5" s="1">
        <v>470</v>
      </c>
      <c r="G5" s="1">
        <v>99</v>
      </c>
      <c r="H5" s="1">
        <v>5500</v>
      </c>
      <c r="I5" s="1">
        <v>14</v>
      </c>
      <c r="J5" s="1">
        <v>0</v>
      </c>
      <c r="K5" s="1">
        <v>0</v>
      </c>
      <c r="Y5" s="1" t="s">
        <v>67</v>
      </c>
      <c r="Z5" s="1">
        <v>240</v>
      </c>
      <c r="AA5" s="1">
        <v>403.5</v>
      </c>
      <c r="AB5" s="1">
        <v>1.3</v>
      </c>
      <c r="AC5" s="1">
        <v>1297.4000000000001</v>
      </c>
      <c r="AD5" s="1">
        <v>721.04</v>
      </c>
      <c r="AE5" s="1">
        <v>15.75</v>
      </c>
    </row>
    <row r="6" spans="1:31" x14ac:dyDescent="0.35">
      <c r="A6" s="1" t="s">
        <v>66</v>
      </c>
      <c r="B6" s="1">
        <v>2822.1</v>
      </c>
      <c r="C6" s="1">
        <v>1.3</v>
      </c>
      <c r="D6" s="1">
        <v>0</v>
      </c>
      <c r="E6" s="1">
        <v>0</v>
      </c>
      <c r="F6" s="1">
        <v>0</v>
      </c>
      <c r="G6" s="1">
        <v>0</v>
      </c>
      <c r="H6" s="1">
        <v>29.99</v>
      </c>
      <c r="I6" s="1">
        <v>0</v>
      </c>
      <c r="J6" s="1">
        <v>3948.3</v>
      </c>
      <c r="K6" s="1">
        <v>31.95</v>
      </c>
      <c r="Y6" s="1" t="s">
        <v>65</v>
      </c>
      <c r="Z6" s="1">
        <v>790</v>
      </c>
      <c r="AA6" s="1">
        <v>780</v>
      </c>
      <c r="AB6" s="1">
        <v>0</v>
      </c>
      <c r="AC6" s="1">
        <v>147.69</v>
      </c>
      <c r="AD6" s="1">
        <v>4.63</v>
      </c>
      <c r="AE6" s="1">
        <v>0</v>
      </c>
    </row>
    <row r="7" spans="1:31" x14ac:dyDescent="0.35">
      <c r="A7" s="1" t="s">
        <v>86</v>
      </c>
      <c r="B7" s="1">
        <v>1473</v>
      </c>
      <c r="C7" s="1">
        <v>1297.4000000000001</v>
      </c>
      <c r="D7" s="1">
        <v>147.69</v>
      </c>
      <c r="E7" s="1">
        <v>0</v>
      </c>
      <c r="F7" s="1">
        <v>2190</v>
      </c>
      <c r="G7" s="1">
        <v>70.8</v>
      </c>
      <c r="H7" s="1">
        <v>0</v>
      </c>
      <c r="I7" s="1">
        <v>0.5</v>
      </c>
      <c r="J7" s="1">
        <v>0</v>
      </c>
      <c r="K7" s="1">
        <v>94.28</v>
      </c>
      <c r="Y7" s="1" t="s">
        <v>61</v>
      </c>
      <c r="Z7" s="1">
        <v>525</v>
      </c>
      <c r="AA7" s="1">
        <v>470</v>
      </c>
      <c r="AB7" s="1">
        <v>0</v>
      </c>
      <c r="AC7" s="1">
        <v>2190</v>
      </c>
      <c r="AD7" s="1">
        <v>307.5</v>
      </c>
      <c r="AE7" s="1">
        <v>48.34</v>
      </c>
    </row>
    <row r="8" spans="1:31" x14ac:dyDescent="0.35">
      <c r="A8" s="1" t="s">
        <v>85</v>
      </c>
      <c r="B8" s="1">
        <v>1150</v>
      </c>
      <c r="C8" s="1">
        <v>721.04</v>
      </c>
      <c r="D8" s="1">
        <v>4.63</v>
      </c>
      <c r="E8" s="1">
        <v>201.46</v>
      </c>
      <c r="F8" s="1">
        <v>307.5</v>
      </c>
      <c r="G8" s="1">
        <v>66.25</v>
      </c>
      <c r="H8" s="1">
        <v>0</v>
      </c>
      <c r="I8" s="1">
        <v>0</v>
      </c>
      <c r="J8" s="1">
        <v>0</v>
      </c>
      <c r="K8" s="1">
        <v>33.9</v>
      </c>
      <c r="Y8" s="1" t="s">
        <v>59</v>
      </c>
      <c r="Z8" s="1">
        <v>109</v>
      </c>
      <c r="AA8" s="1">
        <v>99</v>
      </c>
      <c r="AB8" s="1">
        <v>0</v>
      </c>
      <c r="AC8" s="1">
        <v>70.8</v>
      </c>
      <c r="AD8" s="1">
        <v>66.25</v>
      </c>
      <c r="AE8" s="1">
        <v>0</v>
      </c>
    </row>
    <row r="9" spans="1:31" x14ac:dyDescent="0.35">
      <c r="A9" s="1" t="s">
        <v>84</v>
      </c>
      <c r="B9" s="1">
        <v>1100</v>
      </c>
      <c r="C9" s="1">
        <v>15.75</v>
      </c>
      <c r="D9" s="1">
        <v>0</v>
      </c>
      <c r="E9" s="1">
        <v>1.8</v>
      </c>
      <c r="F9" s="1">
        <v>48.34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Y9" s="1" t="s">
        <v>58</v>
      </c>
      <c r="Z9" s="1">
        <v>5500</v>
      </c>
      <c r="AA9" s="1">
        <v>5500</v>
      </c>
      <c r="AB9" s="1">
        <v>29.99</v>
      </c>
      <c r="AC9" s="1">
        <v>0</v>
      </c>
      <c r="AD9" s="1">
        <v>0</v>
      </c>
      <c r="AE9" s="1">
        <v>0</v>
      </c>
    </row>
    <row r="10" spans="1:31" x14ac:dyDescent="0.35">
      <c r="Y10" s="1" t="s">
        <v>56</v>
      </c>
      <c r="Z10" s="1">
        <v>239</v>
      </c>
      <c r="AA10" s="1">
        <v>14</v>
      </c>
      <c r="AB10" s="1">
        <v>0</v>
      </c>
      <c r="AC10" s="1">
        <v>0.5</v>
      </c>
      <c r="AD10" s="1">
        <v>0</v>
      </c>
      <c r="AE10" s="1">
        <v>0</v>
      </c>
    </row>
    <row r="11" spans="1:31" x14ac:dyDescent="0.35">
      <c r="A11" s="67" t="s">
        <v>83</v>
      </c>
      <c r="H11" s="9" t="s">
        <v>82</v>
      </c>
      <c r="I11" s="1">
        <v>160</v>
      </c>
      <c r="J11" s="1" t="s">
        <v>81</v>
      </c>
      <c r="Y11" s="1" t="s">
        <v>55</v>
      </c>
      <c r="Z11" s="1">
        <v>0</v>
      </c>
      <c r="AA11" s="1">
        <v>0</v>
      </c>
      <c r="AB11" s="1">
        <v>3948.3</v>
      </c>
      <c r="AC11" s="1">
        <v>0</v>
      </c>
      <c r="AD11" s="1">
        <v>0</v>
      </c>
      <c r="AE11" s="1">
        <v>0</v>
      </c>
    </row>
    <row r="12" spans="1:31" x14ac:dyDescent="0.35">
      <c r="A12" s="1" t="s">
        <v>80</v>
      </c>
      <c r="B12" s="1" t="s">
        <v>66</v>
      </c>
      <c r="C12" s="1" t="s">
        <v>79</v>
      </c>
      <c r="D12" s="1" t="s">
        <v>78</v>
      </c>
      <c r="E12" s="1" t="s">
        <v>60</v>
      </c>
      <c r="F12" s="1" t="s">
        <v>44</v>
      </c>
      <c r="H12" s="1" t="s">
        <v>77</v>
      </c>
      <c r="I12" s="1" t="s">
        <v>60</v>
      </c>
      <c r="K12" s="1" t="s">
        <v>76</v>
      </c>
      <c r="L12" s="1" t="s">
        <v>44</v>
      </c>
      <c r="Y12" s="1" t="s">
        <v>52</v>
      </c>
      <c r="Z12" s="1">
        <v>6</v>
      </c>
      <c r="AA12" s="1">
        <v>0</v>
      </c>
      <c r="AB12" s="1">
        <v>31.95</v>
      </c>
      <c r="AC12" s="1">
        <v>94.28</v>
      </c>
      <c r="AD12" s="1">
        <v>33.9</v>
      </c>
      <c r="AE12" s="1">
        <v>0</v>
      </c>
    </row>
    <row r="13" spans="1:31" x14ac:dyDescent="0.35">
      <c r="A13" s="1" t="s">
        <v>2</v>
      </c>
      <c r="B13" s="1">
        <v>4090</v>
      </c>
      <c r="C13" s="1">
        <v>2094.5</v>
      </c>
      <c r="D13" s="1">
        <v>0</v>
      </c>
      <c r="E13" s="1">
        <v>325</v>
      </c>
      <c r="F13" s="1">
        <v>5300</v>
      </c>
      <c r="H13" s="1" t="s">
        <v>2</v>
      </c>
      <c r="I13" s="1">
        <f>450000+34000+7500</f>
        <v>491500</v>
      </c>
      <c r="K13" s="1" t="s">
        <v>2</v>
      </c>
      <c r="L13" s="1">
        <v>1830</v>
      </c>
    </row>
    <row r="14" spans="1:31" x14ac:dyDescent="0.35">
      <c r="A14" s="1" t="s">
        <v>1</v>
      </c>
      <c r="B14" s="1">
        <f>B13</f>
        <v>4090</v>
      </c>
      <c r="C14" s="1">
        <f>C13</f>
        <v>2094.5</v>
      </c>
      <c r="D14" s="1">
        <f>D13</f>
        <v>0</v>
      </c>
      <c r="E14" s="1">
        <v>1655</v>
      </c>
      <c r="F14" s="1">
        <v>10964</v>
      </c>
      <c r="H14" s="1" t="s">
        <v>1</v>
      </c>
      <c r="I14" s="1">
        <f>450000+7500+1350000+1050000+1050000+1050000+600000</f>
        <v>5557500</v>
      </c>
      <c r="K14" s="1" t="s">
        <v>1</v>
      </c>
      <c r="L14" s="1">
        <v>6970</v>
      </c>
    </row>
    <row r="15" spans="1:31" x14ac:dyDescent="0.35">
      <c r="A15" s="1" t="s">
        <v>0</v>
      </c>
      <c r="B15" s="1">
        <v>1722</v>
      </c>
      <c r="C15" s="1">
        <v>2386</v>
      </c>
      <c r="D15" s="1">
        <v>4195</v>
      </c>
      <c r="E15" s="1">
        <v>3345</v>
      </c>
      <c r="F15" s="1">
        <v>9700</v>
      </c>
      <c r="H15" s="1" t="s">
        <v>0</v>
      </c>
      <c r="I15" s="1">
        <f>450000+7500+1350000+1050000+1050000+600000+2400000+480000+800000+900000+1050000</f>
        <v>10137500</v>
      </c>
      <c r="K15" s="1" t="s">
        <v>0</v>
      </c>
      <c r="L15" s="1">
        <v>2233</v>
      </c>
    </row>
    <row r="16" spans="1:31" x14ac:dyDescent="0.35">
      <c r="Y16" s="1" t="s">
        <v>72</v>
      </c>
      <c r="Z16" s="1" t="s">
        <v>2</v>
      </c>
      <c r="AA16" s="1" t="s">
        <v>1</v>
      </c>
      <c r="AB16" s="1" t="s">
        <v>0</v>
      </c>
    </row>
    <row r="17" spans="1:31" x14ac:dyDescent="0.35">
      <c r="A17" s="67" t="s">
        <v>75</v>
      </c>
      <c r="Y17" s="1" t="s">
        <v>69</v>
      </c>
      <c r="Z17" s="1">
        <f>(B$6*$B13)+(B$5*$C13)+($D13*B$4)</f>
        <v>17616439</v>
      </c>
      <c r="AA17" s="1">
        <f>(B$6*$B14)+(B$5*$C14)+($D14*B$4)</f>
        <v>17616439</v>
      </c>
      <c r="AB17" s="1">
        <f>(B$6*$B15)+(B$5*$C15)+($D15*B$4)</f>
        <v>45339056.200000003</v>
      </c>
    </row>
    <row r="18" spans="1:31" x14ac:dyDescent="0.35">
      <c r="A18" s="1" t="s">
        <v>72</v>
      </c>
      <c r="B18" s="1" t="s">
        <v>69</v>
      </c>
      <c r="C18" s="1" t="s">
        <v>67</v>
      </c>
      <c r="D18" s="1" t="s">
        <v>65</v>
      </c>
      <c r="E18" s="1" t="s">
        <v>61</v>
      </c>
      <c r="F18" s="1" t="s">
        <v>59</v>
      </c>
      <c r="G18" s="1" t="s">
        <v>58</v>
      </c>
      <c r="H18" s="1" t="s">
        <v>56</v>
      </c>
      <c r="I18" s="1" t="s">
        <v>55</v>
      </c>
      <c r="J18" s="1" t="s">
        <v>52</v>
      </c>
      <c r="X18" s="1" t="s">
        <v>67</v>
      </c>
      <c r="Y18" s="1">
        <f>(C$6*$B13)+(C$5*$C13)+($D13*C$4)</f>
        <v>850447.75</v>
      </c>
      <c r="Z18" s="1">
        <f>(C$6*$B14)+(C$5*$C14)+($D14*C$4)</f>
        <v>850447.75</v>
      </c>
      <c r="AA18" s="1">
        <f>(C$6*$B15)+(C$5*$C15)+($D15*C$4)</f>
        <v>1971789.6</v>
      </c>
    </row>
    <row r="19" spans="1:31" x14ac:dyDescent="0.35">
      <c r="A19" s="1" t="s">
        <v>2</v>
      </c>
      <c r="B19" s="1">
        <f>(B$6*$B13)+(B$5*$C13)+($D13*B$4)</f>
        <v>17616439</v>
      </c>
      <c r="C19" s="1">
        <f>(C$6*$B13)+(C$5*$C13)+($D13*C$4)</f>
        <v>850447.75</v>
      </c>
      <c r="D19" s="1">
        <f>(D$6*$B13)+(D$5*$C13)+($D13*D$4)</f>
        <v>1633710</v>
      </c>
      <c r="E19" s="1">
        <f>(F$6*$B13)+(F$5*$C13)+($D13*F$4)</f>
        <v>984415</v>
      </c>
      <c r="F19" s="1">
        <f>(G$6*$B13)+(G$5*$C13)+($D13*G$4)</f>
        <v>207355.5</v>
      </c>
      <c r="G19" s="1">
        <f>(H$6*$B13)+(H$5*$C13)+($D13*H$4)</f>
        <v>11642409.1</v>
      </c>
      <c r="H19" s="1">
        <f>(I$6*$B13)+(I$5*$C13)+($D13*I$4)</f>
        <v>29323</v>
      </c>
      <c r="I19" s="1">
        <f>(J$6*$B13)+(J$5*$C13)+($D13*J$4)</f>
        <v>16148547</v>
      </c>
      <c r="J19" s="1">
        <f>(K$6*$B13)+(K$5*$C13)+($D13*K$4)</f>
        <v>130675.5</v>
      </c>
      <c r="X19" s="1" t="s">
        <v>65</v>
      </c>
      <c r="Y19" s="1">
        <f>(D$6*$B13)+(D$5*$C13)+($D13*D$4)</f>
        <v>1633710</v>
      </c>
      <c r="Z19" s="1">
        <f>(D$6*$B14)+(D$5*$C14)+($D14*D$4)</f>
        <v>1633710</v>
      </c>
      <c r="AA19" s="1">
        <f>(D$6*$B15)+(D$5*$C15)+($D15*D$4)</f>
        <v>5175130</v>
      </c>
    </row>
    <row r="20" spans="1:31" x14ac:dyDescent="0.35">
      <c r="A20" s="1" t="s">
        <v>1</v>
      </c>
      <c r="B20" s="1">
        <f>(B$6*$B14)+(B$5*$C14)+($D14*B$4)</f>
        <v>17616439</v>
      </c>
      <c r="C20" s="1">
        <f>(C$6*$B14)+(C$5*$C14)+($D14*C$4)</f>
        <v>850447.75</v>
      </c>
      <c r="D20" s="1">
        <f>(D$6*$B14)+(D$5*$C14)+($D14*D$4)</f>
        <v>1633710</v>
      </c>
      <c r="E20" s="1">
        <f>(F$6*$B14)+(F$5*$C14)+($D14*F$4)</f>
        <v>984415</v>
      </c>
      <c r="F20" s="1">
        <f>(G$6*$B14)+(G$5*$C14)+($D14*G$4)</f>
        <v>207355.5</v>
      </c>
      <c r="G20" s="1">
        <f>(H$6*$B14)+(H$5*$C14)+($D14*H$4)</f>
        <v>11642409.1</v>
      </c>
      <c r="H20" s="1">
        <f>(I$6*$B14)+(I$5*$C14)+($D14*I$4)</f>
        <v>29323</v>
      </c>
      <c r="I20" s="1">
        <f>(J$6*$B14)+(J$5*$C14)+($D14*J$4)</f>
        <v>16148547</v>
      </c>
      <c r="J20" s="1">
        <f>(K$6*$B14)+(K$5*$C14)+($D14*K$4)</f>
        <v>130675.5</v>
      </c>
      <c r="X20" s="1" t="s">
        <v>61</v>
      </c>
      <c r="Y20" s="1">
        <f>(F$6*$B13)+(F$5*$C13)+($D13*F$4)</f>
        <v>984415</v>
      </c>
      <c r="Z20" s="1">
        <f>(F$6*$B14)+(F$5*$C14)+($D14*F$4)</f>
        <v>984415</v>
      </c>
      <c r="AA20" s="1">
        <f>(F$6*$B15)+(F$5*$C15)+($D15*F$4)</f>
        <v>3323795</v>
      </c>
    </row>
    <row r="21" spans="1:31" x14ac:dyDescent="0.35">
      <c r="A21" s="1" t="s">
        <v>0</v>
      </c>
      <c r="B21" s="1">
        <f>(B$6*$B15)+(B$5*$C15)+($D15*B$4)</f>
        <v>45339056.200000003</v>
      </c>
      <c r="C21" s="1">
        <f>(C$6*$B15)+(C$5*$C15)+($D15*C$4)</f>
        <v>1971789.6</v>
      </c>
      <c r="D21" s="1">
        <f>(D$6*$B15)+(D$5*$C15)+($D15*D$4)</f>
        <v>5175130</v>
      </c>
      <c r="E21" s="1">
        <f>(F$6*$B15)+(F$5*$C15)+($D15*F$4)</f>
        <v>3323795</v>
      </c>
      <c r="F21" s="1">
        <f>(G$6*$B15)+(G$5*$C15)+($D15*G$4)</f>
        <v>693469</v>
      </c>
      <c r="G21" s="1">
        <f>(H$6*$B15)+(H$5*$C15)+($D15*H$4)</f>
        <v>36247142.780000001</v>
      </c>
      <c r="H21" s="1">
        <f>(I$6*$B15)+(I$5*$C15)+($D15*I$4)</f>
        <v>1036009</v>
      </c>
      <c r="I21" s="1">
        <f>(J$6*$B15)+(J$5*$C15)+($D15*J$4)</f>
        <v>6798972.6000000006</v>
      </c>
      <c r="J21" s="1">
        <f>(K$6*$B15)+(K$5*$C15)+($D15*K$4)</f>
        <v>80187.899999999994</v>
      </c>
      <c r="X21" s="1" t="s">
        <v>59</v>
      </c>
      <c r="Y21" s="1">
        <f>(G$6*$B13)+(G$5*$C13)+($D13*G$4)</f>
        <v>207355.5</v>
      </c>
      <c r="Z21" s="1">
        <f>(G$6*$B14)+(G$5*$C14)+($D14*G$4)</f>
        <v>207355.5</v>
      </c>
      <c r="AA21" s="1">
        <f>(G$6*$B15)+(G$5*$C15)+($D15*G$4)</f>
        <v>693469</v>
      </c>
    </row>
    <row r="22" spans="1:31" x14ac:dyDescent="0.35">
      <c r="Y22" s="1" t="s">
        <v>58</v>
      </c>
      <c r="Z22" s="1">
        <f>(H$6*$B13)+(H$5*$C13)+($D13*H$4)</f>
        <v>11642409.1</v>
      </c>
      <c r="AA22" s="1">
        <f>(H$6*$B14)+(H$5*$C14)+($D14*H$4)</f>
        <v>11642409.1</v>
      </c>
      <c r="AB22" s="1">
        <f>(H$6*$B15)+(H$5*$C15)+($D15*H$4)</f>
        <v>36247142.780000001</v>
      </c>
    </row>
    <row r="23" spans="1:31" x14ac:dyDescent="0.35">
      <c r="A23" s="67" t="s">
        <v>74</v>
      </c>
      <c r="B23" s="1">
        <f>8/(8+35+20+14)</f>
        <v>0.1038961038961039</v>
      </c>
      <c r="C23" s="1">
        <f>35/(8+35+20+14)</f>
        <v>0.45454545454545453</v>
      </c>
      <c r="D23" s="1">
        <f>20/(8+35+20+14)</f>
        <v>0.25974025974025972</v>
      </c>
      <c r="E23" s="1">
        <f>14/(8+35+20+14)</f>
        <v>0.18181818181818182</v>
      </c>
      <c r="G23" s="67"/>
      <c r="M23" s="9" t="s">
        <v>73</v>
      </c>
      <c r="Y23" s="1" t="s">
        <v>56</v>
      </c>
      <c r="Z23" s="1">
        <f>(I$6*$B13)+(I$5*$C13)+($D13*I$4)</f>
        <v>29323</v>
      </c>
      <c r="AA23" s="1">
        <f>(I$6*$B14)+(I$5*$C14)+($D14*I$4)</f>
        <v>29323</v>
      </c>
      <c r="AB23" s="1">
        <f>(I$6*$B15)+(I$5*$C15)+($D15*I$4)</f>
        <v>1036009</v>
      </c>
    </row>
    <row r="24" spans="1:31" x14ac:dyDescent="0.35">
      <c r="A24" s="1" t="s">
        <v>72</v>
      </c>
      <c r="B24" s="1" t="s">
        <v>48</v>
      </c>
      <c r="C24" s="1" t="s">
        <v>67</v>
      </c>
      <c r="D24" s="1" t="s">
        <v>65</v>
      </c>
      <c r="E24" s="1" t="s">
        <v>63</v>
      </c>
      <c r="Y24" s="1" t="s">
        <v>55</v>
      </c>
      <c r="Z24" s="1">
        <f>(J$6*$B13)+(J$5*$C13)+($D13*J$4)</f>
        <v>16148547</v>
      </c>
      <c r="AA24" s="1">
        <f>(J$6*$B14)+(J$5*$C14)+($D14*J$4)</f>
        <v>16148547</v>
      </c>
      <c r="AB24" s="1">
        <f>(J$6*$B15)+(J$5*$C15)+($D15*J$4)</f>
        <v>6798972.6000000006</v>
      </c>
    </row>
    <row r="25" spans="1:31" x14ac:dyDescent="0.35">
      <c r="A25" s="1" t="s">
        <v>2</v>
      </c>
      <c r="B25" s="1">
        <f>B$23*$I13*$I$11/1000</f>
        <v>8170.3896103896104</v>
      </c>
      <c r="C25" s="1">
        <f>C$23*$I13*$I$11/1000</f>
        <v>35745.454545454544</v>
      </c>
      <c r="D25" s="1">
        <f>D$23*$I13*$I$11/1000</f>
        <v>20425.974025974025</v>
      </c>
      <c r="E25" s="1">
        <f>E$23*$I13*$I$11/1000</f>
        <v>14298.181818181818</v>
      </c>
      <c r="Y25" s="1" t="s">
        <v>52</v>
      </c>
      <c r="Z25" s="1">
        <f>(K$6*$B13)+(K$5*$C13)+($D13*K$4)</f>
        <v>130675.5</v>
      </c>
      <c r="AA25" s="1">
        <f>(K$6*$B14)+(K$5*$C14)+($D14*K$4)</f>
        <v>130675.5</v>
      </c>
      <c r="AB25" s="1">
        <f>(K$6*$B15)+(K$5*$C15)+($D15*K$4)</f>
        <v>80187.899999999994</v>
      </c>
    </row>
    <row r="26" spans="1:31" x14ac:dyDescent="0.35">
      <c r="A26" s="1" t="s">
        <v>1</v>
      </c>
      <c r="B26" s="1">
        <f>B$23*$I14*$I$11/1000</f>
        <v>92384.41558441559</v>
      </c>
      <c r="C26" s="1">
        <f>C$23*$I14*$I$11/1000</f>
        <v>404181.81818181818</v>
      </c>
      <c r="D26" s="1">
        <f>D$23*$I14*$I$11/1000</f>
        <v>230961.03896103892</v>
      </c>
      <c r="E26" s="1">
        <f>E$23*$I14*$I$11/1000</f>
        <v>161672.72727272729</v>
      </c>
    </row>
    <row r="27" spans="1:31" x14ac:dyDescent="0.35">
      <c r="A27" s="1" t="s">
        <v>0</v>
      </c>
      <c r="B27" s="1">
        <f>B$23*$I15*$I$11/1000</f>
        <v>168519.48051948054</v>
      </c>
      <c r="C27" s="1">
        <f>C$23*$I15*$I$11/1000</f>
        <v>737272.72727272729</v>
      </c>
      <c r="D27" s="1">
        <f>D$23*$I15*$I$11/1000</f>
        <v>421298.70129870123</v>
      </c>
      <c r="E27" s="1">
        <f>E$23*$I15*$I$11/1000</f>
        <v>294909.09090909088</v>
      </c>
    </row>
    <row r="28" spans="1:31" x14ac:dyDescent="0.35">
      <c r="Y28" s="1" t="s">
        <v>70</v>
      </c>
      <c r="Z28" s="1" t="s">
        <v>66</v>
      </c>
      <c r="AA28" s="1" t="s">
        <v>64</v>
      </c>
      <c r="AB28" s="1" t="s">
        <v>62</v>
      </c>
    </row>
    <row r="29" spans="1:31" x14ac:dyDescent="0.35">
      <c r="A29" s="67" t="s">
        <v>71</v>
      </c>
      <c r="Y29" s="1" t="s">
        <v>69</v>
      </c>
      <c r="Z29" s="1">
        <v>3</v>
      </c>
      <c r="AA29" s="1">
        <v>3</v>
      </c>
      <c r="AB29" s="1">
        <v>3</v>
      </c>
      <c r="AC29" s="1" t="s">
        <v>60</v>
      </c>
      <c r="AD29" s="1" t="s">
        <v>44</v>
      </c>
      <c r="AE29" s="1" t="s">
        <v>57</v>
      </c>
    </row>
    <row r="30" spans="1:31" x14ac:dyDescent="0.35">
      <c r="A30" s="1" t="s">
        <v>70</v>
      </c>
      <c r="B30" s="1" t="s">
        <v>69</v>
      </c>
      <c r="C30" s="1" t="s">
        <v>67</v>
      </c>
      <c r="D30" s="1" t="s">
        <v>65</v>
      </c>
      <c r="E30" s="1" t="s">
        <v>63</v>
      </c>
      <c r="F30" s="1" t="s">
        <v>61</v>
      </c>
      <c r="G30" s="1" t="s">
        <v>59</v>
      </c>
      <c r="H30" s="1" t="s">
        <v>58</v>
      </c>
      <c r="I30" s="1" t="s">
        <v>56</v>
      </c>
      <c r="J30" s="1" t="s">
        <v>55</v>
      </c>
      <c r="K30" s="1" t="s">
        <v>52</v>
      </c>
      <c r="L30" s="1" t="s">
        <v>48</v>
      </c>
      <c r="N30" s="9" t="s">
        <v>68</v>
      </c>
      <c r="Y30" s="1" t="s">
        <v>67</v>
      </c>
      <c r="Z30" s="1">
        <v>1</v>
      </c>
      <c r="AA30" s="1">
        <v>2</v>
      </c>
      <c r="AB30" s="1">
        <v>2</v>
      </c>
      <c r="AC30" s="1">
        <v>3</v>
      </c>
      <c r="AD30" s="1">
        <v>3</v>
      </c>
      <c r="AE30" s="1">
        <f>AVERAGE(Z30:AD30)</f>
        <v>2.2000000000000002</v>
      </c>
    </row>
    <row r="31" spans="1:31" x14ac:dyDescent="0.35">
      <c r="A31" s="1" t="s">
        <v>66</v>
      </c>
      <c r="B31" s="1">
        <v>3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Y31" s="1" t="s">
        <v>65</v>
      </c>
      <c r="Z31" s="1">
        <v>1</v>
      </c>
      <c r="AA31" s="1">
        <v>3</v>
      </c>
      <c r="AB31" s="1">
        <v>3</v>
      </c>
      <c r="AC31" s="1">
        <v>3</v>
      </c>
      <c r="AD31" s="1">
        <v>1</v>
      </c>
      <c r="AE31" s="1">
        <f>AVERAGE(Z31:AD31)</f>
        <v>2.2000000000000002</v>
      </c>
    </row>
    <row r="32" spans="1:31" x14ac:dyDescent="0.35">
      <c r="A32" s="1" t="s">
        <v>64</v>
      </c>
      <c r="B32" s="1">
        <v>3</v>
      </c>
      <c r="C32" s="1">
        <v>2</v>
      </c>
      <c r="D32" s="1">
        <v>3</v>
      </c>
      <c r="E32" s="1">
        <v>1</v>
      </c>
      <c r="F32" s="1">
        <v>2</v>
      </c>
      <c r="G32" s="1">
        <v>2</v>
      </c>
      <c r="H32" s="1">
        <v>3</v>
      </c>
      <c r="I32" s="1">
        <v>3</v>
      </c>
      <c r="J32" s="1">
        <v>1</v>
      </c>
      <c r="K32" s="1">
        <v>1</v>
      </c>
      <c r="L32" s="1">
        <v>1</v>
      </c>
      <c r="Y32" s="1" t="s">
        <v>63</v>
      </c>
      <c r="Z32" s="1">
        <v>1</v>
      </c>
      <c r="AA32" s="1">
        <v>1</v>
      </c>
      <c r="AB32" s="1">
        <v>1</v>
      </c>
      <c r="AC32" s="1">
        <v>3</v>
      </c>
      <c r="AD32" s="1">
        <v>1</v>
      </c>
      <c r="AE32" s="1">
        <f>AVERAGE(Z32:AD32)</f>
        <v>1.4</v>
      </c>
    </row>
    <row r="33" spans="1:31" x14ac:dyDescent="0.35">
      <c r="A33" s="1" t="s">
        <v>62</v>
      </c>
      <c r="B33" s="1">
        <v>3</v>
      </c>
      <c r="C33" s="1">
        <v>2</v>
      </c>
      <c r="D33" s="1">
        <v>3</v>
      </c>
      <c r="E33" s="1">
        <v>1</v>
      </c>
      <c r="F33" s="1">
        <v>2</v>
      </c>
      <c r="G33" s="1">
        <v>2</v>
      </c>
      <c r="H33" s="1">
        <v>3</v>
      </c>
      <c r="I33" s="1">
        <v>3</v>
      </c>
      <c r="J33" s="1">
        <v>1</v>
      </c>
      <c r="K33" s="1">
        <v>1</v>
      </c>
      <c r="L33" s="1">
        <v>1</v>
      </c>
      <c r="Y33" s="1" t="s">
        <v>61</v>
      </c>
      <c r="Z33" s="1">
        <v>1</v>
      </c>
      <c r="AA33" s="1">
        <v>2</v>
      </c>
      <c r="AB33" s="1">
        <v>2</v>
      </c>
      <c r="AC33" s="1">
        <v>3</v>
      </c>
      <c r="AD33" s="1">
        <v>1</v>
      </c>
      <c r="AE33" s="1">
        <f>AVERAGE(Z33:AD33)</f>
        <v>1.8</v>
      </c>
    </row>
    <row r="34" spans="1:31" x14ac:dyDescent="0.35">
      <c r="A34" s="1" t="s">
        <v>60</v>
      </c>
      <c r="B34" s="1">
        <v>3</v>
      </c>
      <c r="C34" s="1">
        <v>3</v>
      </c>
      <c r="D34" s="1">
        <v>3</v>
      </c>
      <c r="E34" s="1">
        <v>3</v>
      </c>
      <c r="F34" s="1">
        <v>1</v>
      </c>
      <c r="G34" s="1">
        <v>1</v>
      </c>
      <c r="H34" s="1">
        <v>1</v>
      </c>
      <c r="I34" s="1">
        <v>3</v>
      </c>
      <c r="J34" s="1">
        <v>1</v>
      </c>
      <c r="K34" s="1">
        <v>1</v>
      </c>
      <c r="L34" s="1">
        <v>3</v>
      </c>
      <c r="Y34" s="1" t="s">
        <v>59</v>
      </c>
      <c r="Z34" s="1">
        <v>1</v>
      </c>
      <c r="AA34" s="1">
        <v>2</v>
      </c>
      <c r="AB34" s="1">
        <v>2</v>
      </c>
      <c r="AC34" s="1">
        <v>1</v>
      </c>
      <c r="AD34" s="1">
        <v>1</v>
      </c>
      <c r="AE34" s="1">
        <f>AVERAGE(Z34:AD34)</f>
        <v>1.4</v>
      </c>
    </row>
    <row r="35" spans="1:31" x14ac:dyDescent="0.35">
      <c r="A35" s="1" t="s">
        <v>44</v>
      </c>
      <c r="B35" s="1">
        <v>3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Y35" s="1" t="s">
        <v>58</v>
      </c>
      <c r="Z35" s="1">
        <v>1</v>
      </c>
      <c r="AA35" s="1">
        <v>3</v>
      </c>
      <c r="AB35" s="1">
        <v>3</v>
      </c>
      <c r="AC35" s="1">
        <v>1</v>
      </c>
      <c r="AD35" s="1">
        <v>1</v>
      </c>
      <c r="AE35" s="1">
        <f>AVERAGE(Z35:AD35)</f>
        <v>1.8</v>
      </c>
    </row>
    <row r="36" spans="1:31" x14ac:dyDescent="0.35">
      <c r="A36" s="1" t="s">
        <v>57</v>
      </c>
      <c r="B36" s="1">
        <f>AVERAGE(B31:B35)</f>
        <v>3</v>
      </c>
      <c r="C36" s="1">
        <f>AVERAGE(C31:C35)</f>
        <v>1.8</v>
      </c>
      <c r="D36" s="1">
        <f>AVERAGE(D31:D35)</f>
        <v>2.2000000000000002</v>
      </c>
      <c r="E36" s="1">
        <f>AVERAGE(E31:E35)</f>
        <v>1.4</v>
      </c>
      <c r="F36" s="1">
        <f>AVERAGE(F31:F35)</f>
        <v>1.4</v>
      </c>
      <c r="G36" s="1">
        <f>AVERAGE(G31:G35)</f>
        <v>1.4</v>
      </c>
      <c r="H36" s="1">
        <f>AVERAGE(H31:H35)</f>
        <v>1.8</v>
      </c>
      <c r="I36" s="1">
        <f>AVERAGE(I31:I35)</f>
        <v>2.2000000000000002</v>
      </c>
      <c r="J36" s="1">
        <f>AVERAGE(J31:J35)</f>
        <v>1</v>
      </c>
      <c r="K36" s="1">
        <f>AVERAGE(K31:K35)</f>
        <v>1</v>
      </c>
      <c r="L36" s="1">
        <f>AVERAGE(L31:L35)</f>
        <v>1.4</v>
      </c>
      <c r="Y36" s="1" t="s">
        <v>56</v>
      </c>
      <c r="Z36" s="1">
        <v>1</v>
      </c>
      <c r="AA36" s="1">
        <v>3</v>
      </c>
      <c r="AB36" s="1">
        <v>3</v>
      </c>
      <c r="AC36" s="1">
        <v>1</v>
      </c>
      <c r="AD36" s="1">
        <v>1</v>
      </c>
      <c r="AE36" s="1">
        <f>AVERAGE(Z36:AD36)</f>
        <v>1.8</v>
      </c>
    </row>
    <row r="37" spans="1:31" ht="16" thickBot="1" x14ac:dyDescent="0.4">
      <c r="Y37" s="1" t="s">
        <v>55</v>
      </c>
      <c r="Z37" s="1">
        <v>1</v>
      </c>
      <c r="AA37" s="1">
        <v>1</v>
      </c>
      <c r="AB37" s="1">
        <v>1</v>
      </c>
      <c r="AC37" s="1">
        <v>3</v>
      </c>
      <c r="AD37" s="1">
        <v>1</v>
      </c>
      <c r="AE37" s="1">
        <f>AVERAGE(Z37:AD37)</f>
        <v>1.4</v>
      </c>
    </row>
    <row r="38" spans="1:31" ht="16" thickBot="1" x14ac:dyDescent="0.4">
      <c r="A38" s="66"/>
      <c r="B38" s="65" t="s">
        <v>54</v>
      </c>
      <c r="C38" s="65"/>
      <c r="D38" s="64"/>
      <c r="E38" s="63" t="s">
        <v>5</v>
      </c>
      <c r="F38" s="62"/>
      <c r="G38" s="61" t="s">
        <v>4</v>
      </c>
      <c r="H38" s="60"/>
      <c r="I38" s="59" t="s">
        <v>53</v>
      </c>
      <c r="J38" s="58"/>
      <c r="K38" s="57"/>
      <c r="N38" s="56"/>
      <c r="O38" s="55"/>
      <c r="P38" s="54"/>
      <c r="Q38" s="54"/>
      <c r="R38" s="54"/>
      <c r="Y38" s="1" t="s">
        <v>52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f>AVERAGE(Z38:AD38)</f>
        <v>1</v>
      </c>
    </row>
    <row r="39" spans="1:31" ht="16" thickBot="1" x14ac:dyDescent="0.4">
      <c r="A39" s="53" t="s">
        <v>51</v>
      </c>
      <c r="B39" s="52" t="s">
        <v>2</v>
      </c>
      <c r="C39" s="51" t="s">
        <v>21</v>
      </c>
      <c r="D39" s="50" t="s">
        <v>19</v>
      </c>
      <c r="E39" s="49" t="s">
        <v>50</v>
      </c>
      <c r="F39" s="48" t="s">
        <v>49</v>
      </c>
      <c r="G39" s="47" t="s">
        <v>50</v>
      </c>
      <c r="H39" s="46" t="s">
        <v>49</v>
      </c>
      <c r="I39" s="45" t="s">
        <v>2</v>
      </c>
      <c r="J39" s="44" t="s">
        <v>21</v>
      </c>
      <c r="K39" s="43" t="s">
        <v>19</v>
      </c>
      <c r="N39" s="13"/>
      <c r="O39" s="37"/>
      <c r="P39" s="20"/>
      <c r="Q39" s="20"/>
      <c r="R39" s="20"/>
      <c r="Y39" s="1" t="s">
        <v>48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f>AVERAGE(Z39:AD39)</f>
        <v>1</v>
      </c>
    </row>
    <row r="40" spans="1:31" ht="44" thickBot="1" x14ac:dyDescent="0.4">
      <c r="A40" s="42" t="s">
        <v>47</v>
      </c>
      <c r="B40" s="40">
        <f>SUM(B19:H19)</f>
        <v>32964099.350000001</v>
      </c>
      <c r="C40" s="39">
        <f>SUM(B20:H20)</f>
        <v>32964099.350000001</v>
      </c>
      <c r="D40" s="26">
        <f>SUM(B21:H21)</f>
        <v>93786391.580000013</v>
      </c>
      <c r="E40" s="38">
        <v>0</v>
      </c>
      <c r="F40" s="31" t="s">
        <v>43</v>
      </c>
      <c r="G40" s="30">
        <f>1.5*D40</f>
        <v>140679587.37</v>
      </c>
      <c r="H40" s="29" t="s">
        <v>45</v>
      </c>
      <c r="I40" s="28">
        <f>(B40-G40)/(E40-G40)</f>
        <v>0.76567958460596386</v>
      </c>
      <c r="J40" s="27">
        <f>(C40-G40)/(E40-G40)</f>
        <v>0.76567958460596386</v>
      </c>
      <c r="K40" s="26">
        <f>(D40-G40)/(E40-G40)</f>
        <v>0.33333333333333326</v>
      </c>
      <c r="N40" s="13"/>
      <c r="O40" s="37"/>
      <c r="P40" s="20"/>
      <c r="Q40" s="20"/>
      <c r="R40" s="20"/>
      <c r="AC40" s="1">
        <v>3</v>
      </c>
      <c r="AD40" s="1">
        <v>1</v>
      </c>
      <c r="AE40" s="1">
        <f>AVERAGE(Z40:AD40)</f>
        <v>2</v>
      </c>
    </row>
    <row r="41" spans="1:31" ht="44" thickBot="1" x14ac:dyDescent="0.4">
      <c r="A41" s="41" t="s">
        <v>46</v>
      </c>
      <c r="B41" s="40">
        <f>SUM(B25:E25)</f>
        <v>78640</v>
      </c>
      <c r="C41" s="39">
        <f>SUM(B26:E26)</f>
        <v>889200</v>
      </c>
      <c r="D41" s="26">
        <f>SUM(B27:E27)</f>
        <v>1622000</v>
      </c>
      <c r="E41" s="38">
        <v>0</v>
      </c>
      <c r="F41" s="31" t="s">
        <v>43</v>
      </c>
      <c r="G41" s="30">
        <f>1.5*D41</f>
        <v>2433000</v>
      </c>
      <c r="H41" s="29" t="s">
        <v>45</v>
      </c>
      <c r="I41" s="28">
        <f>(B41-G41)/(E41-G41)</f>
        <v>0.96767776407727091</v>
      </c>
      <c r="J41" s="27">
        <f>(C41-G41)/(E41-G41)</f>
        <v>0.6345252774352651</v>
      </c>
      <c r="K41" s="26">
        <f>(D41-G41)/(E41-G41)</f>
        <v>0.33333333333333331</v>
      </c>
      <c r="N41" s="13"/>
      <c r="O41" s="37"/>
      <c r="P41" s="11"/>
      <c r="Q41" s="11"/>
      <c r="R41" s="11"/>
    </row>
    <row r="42" spans="1:31" ht="44" thickBot="1" x14ac:dyDescent="0.4">
      <c r="A42" s="36" t="s">
        <v>44</v>
      </c>
      <c r="B42" s="35">
        <f>L13</f>
        <v>1830</v>
      </c>
      <c r="C42" s="34">
        <f>L14</f>
        <v>6970</v>
      </c>
      <c r="D42" s="33">
        <f>L15</f>
        <v>2233</v>
      </c>
      <c r="E42" s="32">
        <v>0</v>
      </c>
      <c r="F42" s="31" t="s">
        <v>43</v>
      </c>
      <c r="G42" s="30">
        <f>1.5*C42</f>
        <v>10455</v>
      </c>
      <c r="H42" s="29" t="s">
        <v>42</v>
      </c>
      <c r="I42" s="28">
        <f>(B42-G42)/(E42-G42)</f>
        <v>0.82496413199426111</v>
      </c>
      <c r="J42" s="27">
        <f>(C42-G42)/(E42-G42)</f>
        <v>0.33333333333333331</v>
      </c>
      <c r="K42" s="26">
        <f>(D42-G42)/(E42-G42)</f>
        <v>0.78641798182687705</v>
      </c>
      <c r="N42" s="13"/>
      <c r="O42" s="12"/>
      <c r="P42" s="20"/>
      <c r="Q42" s="20"/>
      <c r="R42" s="20"/>
    </row>
    <row r="43" spans="1:31" x14ac:dyDescent="0.35">
      <c r="N43" s="13"/>
      <c r="O43" s="12"/>
      <c r="P43" s="20"/>
      <c r="Q43" s="20"/>
      <c r="R43" s="20"/>
    </row>
    <row r="44" spans="1:31" x14ac:dyDescent="0.35">
      <c r="A44" s="25"/>
      <c r="B44" s="24" t="s">
        <v>41</v>
      </c>
      <c r="C44" s="24" t="s">
        <v>40</v>
      </c>
      <c r="N44" s="13"/>
      <c r="O44" s="12"/>
      <c r="P44" s="20"/>
      <c r="Q44" s="20"/>
      <c r="R44" s="20"/>
    </row>
    <row r="45" spans="1:31" x14ac:dyDescent="0.35">
      <c r="A45" s="23" t="s">
        <v>2</v>
      </c>
      <c r="B45" s="22">
        <f>1/3*(I40+I41+I42)*C45</f>
        <v>0.28425794229749951</v>
      </c>
      <c r="C45" s="21">
        <v>0.33333333333333331</v>
      </c>
      <c r="F45" s="1" t="s">
        <v>39</v>
      </c>
      <c r="G45" s="1" t="s">
        <v>5</v>
      </c>
      <c r="H45" s="1" t="s">
        <v>4</v>
      </c>
      <c r="N45" s="13"/>
      <c r="O45" s="12"/>
      <c r="P45" s="20"/>
      <c r="Q45" s="20"/>
      <c r="R45" s="20"/>
    </row>
    <row r="46" spans="1:31" x14ac:dyDescent="0.35">
      <c r="A46" s="19" t="s">
        <v>21</v>
      </c>
      <c r="B46" s="18">
        <f>1/3*(J40+J41+J42)*C46</f>
        <v>0.192615355041618</v>
      </c>
      <c r="C46" s="17">
        <v>0.33333333333333331</v>
      </c>
      <c r="F46" s="1" t="s">
        <v>2</v>
      </c>
      <c r="G46" s="1">
        <v>0</v>
      </c>
      <c r="H46" s="1">
        <f>1.5*B40</f>
        <v>49446149.025000006</v>
      </c>
      <c r="N46" s="13"/>
      <c r="O46" s="12"/>
      <c r="P46" s="11"/>
      <c r="Q46" s="11"/>
      <c r="R46" s="11"/>
    </row>
    <row r="47" spans="1:31" x14ac:dyDescent="0.35">
      <c r="A47" s="16" t="s">
        <v>19</v>
      </c>
      <c r="B47" s="15">
        <f>1/3*(K40+K41+K42)*C47</f>
        <v>0.16145384983261593</v>
      </c>
      <c r="C47" s="14">
        <v>0.33333333333333331</v>
      </c>
      <c r="F47" s="1" t="s">
        <v>1</v>
      </c>
      <c r="G47" s="1">
        <v>0</v>
      </c>
      <c r="H47" s="1">
        <f>1.5*C40</f>
        <v>49446149.025000006</v>
      </c>
      <c r="N47" s="13"/>
      <c r="O47" s="12"/>
      <c r="P47" s="11"/>
      <c r="Q47" s="11"/>
      <c r="R47" s="11"/>
    </row>
    <row r="48" spans="1:31" x14ac:dyDescent="0.35">
      <c r="F48" s="1" t="s">
        <v>0</v>
      </c>
      <c r="G48" s="1">
        <v>0</v>
      </c>
      <c r="H48" s="2">
        <f>1.5*D40</f>
        <v>140679587.37</v>
      </c>
      <c r="N48" s="13"/>
      <c r="O48" s="12"/>
      <c r="P48" s="11"/>
      <c r="Q48" s="11"/>
      <c r="R48" s="11"/>
    </row>
    <row r="49" spans="6:8" x14ac:dyDescent="0.35">
      <c r="F49" s="1" t="s">
        <v>39</v>
      </c>
      <c r="G49" s="1" t="s">
        <v>5</v>
      </c>
      <c r="H49" s="1" t="s">
        <v>4</v>
      </c>
    </row>
    <row r="50" spans="6:8" x14ac:dyDescent="0.35">
      <c r="F50" s="1" t="s">
        <v>2</v>
      </c>
      <c r="G50" s="1">
        <v>0</v>
      </c>
      <c r="H50" s="1">
        <f>1.5*B41</f>
        <v>117960</v>
      </c>
    </row>
    <row r="51" spans="6:8" x14ac:dyDescent="0.35">
      <c r="F51" s="1" t="s">
        <v>1</v>
      </c>
      <c r="G51" s="1">
        <v>0</v>
      </c>
      <c r="H51" s="1">
        <f>1.5*C41</f>
        <v>1333800</v>
      </c>
    </row>
    <row r="52" spans="6:8" x14ac:dyDescent="0.35">
      <c r="F52" s="1" t="s">
        <v>0</v>
      </c>
      <c r="G52" s="1">
        <v>0</v>
      </c>
      <c r="H52" s="2">
        <f>1.5*D41</f>
        <v>2433000</v>
      </c>
    </row>
    <row r="53" spans="6:8" x14ac:dyDescent="0.35">
      <c r="F53" s="1" t="s">
        <v>38</v>
      </c>
      <c r="G53" s="1" t="s">
        <v>5</v>
      </c>
      <c r="H53" s="1" t="s">
        <v>4</v>
      </c>
    </row>
    <row r="54" spans="6:8" x14ac:dyDescent="0.35">
      <c r="F54" s="1" t="s">
        <v>2</v>
      </c>
      <c r="G54" s="1">
        <v>0</v>
      </c>
      <c r="H54" s="1">
        <f>1.5*B42</f>
        <v>2745</v>
      </c>
    </row>
    <row r="55" spans="6:8" x14ac:dyDescent="0.35">
      <c r="F55" s="1" t="s">
        <v>1</v>
      </c>
      <c r="G55" s="1">
        <v>0</v>
      </c>
      <c r="H55" s="2">
        <f>1.5*C42</f>
        <v>10455</v>
      </c>
    </row>
    <row r="56" spans="6:8" x14ac:dyDescent="0.35">
      <c r="F56" s="1" t="s">
        <v>0</v>
      </c>
      <c r="G56" s="1">
        <v>0</v>
      </c>
      <c r="H56" s="1">
        <f>1.5*D42</f>
        <v>3349.5</v>
      </c>
    </row>
  </sheetData>
  <mergeCells count="8">
    <mergeCell ref="N44:N45"/>
    <mergeCell ref="N46:N48"/>
    <mergeCell ref="B38:D38"/>
    <mergeCell ref="E38:F38"/>
    <mergeCell ref="G38:H38"/>
    <mergeCell ref="I38:K38"/>
    <mergeCell ref="N39:N41"/>
    <mergeCell ref="N42:N43"/>
  </mergeCells>
  <hyperlinks>
    <hyperlink ref="M3" r:id="rId1" xr:uid="{9E8F4647-1BE7-400D-9C9A-4FF97D1B292F}"/>
    <hyperlink ref="N30" r:id="rId2" xr:uid="{55256AAF-0840-4A76-880C-58458E6FB7FC}"/>
    <hyperlink ref="M23" r:id="rId3" xr:uid="{F5BC9CAF-FA28-4ADD-B948-3D070E004F85}"/>
  </hyperlink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69613-3958-4F96-92DF-22001CD58ACF}">
  <dimension ref="A2:I16"/>
  <sheetViews>
    <sheetView zoomScale="68" workbookViewId="0">
      <selection activeCell="D18" sqref="D18"/>
    </sheetView>
  </sheetViews>
  <sheetFormatPr defaultRowHeight="15.5" x14ac:dyDescent="0.35"/>
  <cols>
    <col min="1" max="1" width="13.7265625" style="1" bestFit="1" customWidth="1"/>
    <col min="2" max="2" width="8.7265625" style="1"/>
    <col min="3" max="3" width="13.36328125" style="1" bestFit="1" customWidth="1"/>
    <col min="4" max="4" width="13.453125" style="1" bestFit="1" customWidth="1"/>
    <col min="5" max="5" width="8.7265625" style="1"/>
    <col min="6" max="6" width="12.54296875" style="1" bestFit="1" customWidth="1"/>
    <col min="7" max="16384" width="8.7265625" style="1"/>
  </cols>
  <sheetData>
    <row r="2" spans="1:9" x14ac:dyDescent="0.35">
      <c r="A2" s="67" t="s">
        <v>83</v>
      </c>
    </row>
    <row r="3" spans="1:9" x14ac:dyDescent="0.35">
      <c r="A3" s="1" t="s">
        <v>80</v>
      </c>
      <c r="B3" s="1" t="s">
        <v>66</v>
      </c>
      <c r="C3" s="1" t="s">
        <v>79</v>
      </c>
      <c r="D3" s="1" t="s">
        <v>78</v>
      </c>
      <c r="E3" s="1" t="s">
        <v>60</v>
      </c>
      <c r="F3" s="1" t="s">
        <v>44</v>
      </c>
      <c r="G3" s="1" t="s">
        <v>94</v>
      </c>
    </row>
    <row r="4" spans="1:9" x14ac:dyDescent="0.35">
      <c r="A4" s="1" t="s">
        <v>2</v>
      </c>
      <c r="B4" s="1">
        <v>4090</v>
      </c>
      <c r="C4" s="1">
        <v>2094.5</v>
      </c>
      <c r="D4" s="1">
        <v>0</v>
      </c>
      <c r="E4" s="1">
        <v>325</v>
      </c>
      <c r="F4" s="1">
        <v>5300</v>
      </c>
      <c r="G4" s="1">
        <f>SUM(B4:F4)</f>
        <v>11809.5</v>
      </c>
    </row>
    <row r="5" spans="1:9" x14ac:dyDescent="0.35">
      <c r="A5" s="1" t="s">
        <v>1</v>
      </c>
      <c r="B5" s="1">
        <f>B4</f>
        <v>4090</v>
      </c>
      <c r="C5" s="1">
        <f>C4</f>
        <v>2094.5</v>
      </c>
      <c r="D5" s="1">
        <f>D4</f>
        <v>0</v>
      </c>
      <c r="E5" s="1">
        <v>1655</v>
      </c>
      <c r="F5" s="1">
        <v>10964</v>
      </c>
      <c r="G5" s="1">
        <f>SUM(B5:F5)</f>
        <v>18803.5</v>
      </c>
    </row>
    <row r="6" spans="1:9" x14ac:dyDescent="0.35">
      <c r="A6" s="1" t="s">
        <v>0</v>
      </c>
      <c r="B6" s="1">
        <v>1722</v>
      </c>
      <c r="C6" s="1">
        <v>2386</v>
      </c>
      <c r="D6" s="1">
        <v>4195</v>
      </c>
      <c r="E6" s="1">
        <v>3345</v>
      </c>
      <c r="F6" s="1">
        <v>9700</v>
      </c>
      <c r="G6" s="1">
        <f>SUM(B6:F6)</f>
        <v>21348</v>
      </c>
    </row>
    <row r="8" spans="1:9" x14ac:dyDescent="0.35">
      <c r="A8" s="1" t="s">
        <v>90</v>
      </c>
      <c r="B8" s="1" t="s">
        <v>66</v>
      </c>
      <c r="C8" s="1" t="s">
        <v>79</v>
      </c>
      <c r="D8" s="1" t="s">
        <v>78</v>
      </c>
      <c r="E8" s="1" t="s">
        <v>60</v>
      </c>
      <c r="F8" s="1" t="s">
        <v>44</v>
      </c>
      <c r="G8" s="1" t="s">
        <v>94</v>
      </c>
      <c r="I8" s="9" t="s">
        <v>93</v>
      </c>
    </row>
    <row r="9" spans="1:9" x14ac:dyDescent="0.35">
      <c r="A9" s="1" t="s">
        <v>2</v>
      </c>
      <c r="B9" s="1">
        <f>25*B4</f>
        <v>102250</v>
      </c>
      <c r="C9" s="1">
        <f>20*C4</f>
        <v>41890</v>
      </c>
      <c r="D9" s="1">
        <f>20*D4</f>
        <v>0</v>
      </c>
      <c r="E9" s="1">
        <f>9*E4</f>
        <v>2925</v>
      </c>
      <c r="F9" s="1">
        <f>60*F4</f>
        <v>318000</v>
      </c>
      <c r="G9" s="1">
        <f>SUM(B9:F9)</f>
        <v>465065</v>
      </c>
      <c r="I9" s="9" t="s">
        <v>92</v>
      </c>
    </row>
    <row r="10" spans="1:9" x14ac:dyDescent="0.35">
      <c r="A10" s="1" t="s">
        <v>1</v>
      </c>
      <c r="B10" s="1">
        <f>25*B5</f>
        <v>102250</v>
      </c>
      <c r="C10" s="1">
        <f>20*C5</f>
        <v>41890</v>
      </c>
      <c r="D10" s="1">
        <f>20*D5</f>
        <v>0</v>
      </c>
      <c r="E10" s="1">
        <f>9*E5</f>
        <v>14895</v>
      </c>
      <c r="F10" s="1">
        <f>60*F5</f>
        <v>657840</v>
      </c>
      <c r="G10" s="1">
        <f>SUM(B10:F10)</f>
        <v>816875</v>
      </c>
      <c r="I10" s="9" t="s">
        <v>91</v>
      </c>
    </row>
    <row r="11" spans="1:9" x14ac:dyDescent="0.35">
      <c r="A11" s="1" t="s">
        <v>0</v>
      </c>
      <c r="B11" s="1">
        <f>25*B6</f>
        <v>43050</v>
      </c>
      <c r="C11" s="1">
        <f>20*C6</f>
        <v>47720</v>
      </c>
      <c r="D11" s="1">
        <f>20*D6</f>
        <v>83900</v>
      </c>
      <c r="E11" s="1">
        <f>9*E6</f>
        <v>30105</v>
      </c>
      <c r="F11" s="1">
        <f>60*F6</f>
        <v>582000</v>
      </c>
      <c r="G11" s="1">
        <f>SUM(B11:F11)</f>
        <v>786775</v>
      </c>
    </row>
    <row r="13" spans="1:9" x14ac:dyDescent="0.35">
      <c r="A13" s="1" t="s">
        <v>90</v>
      </c>
      <c r="B13" s="1" t="s">
        <v>5</v>
      </c>
      <c r="C13" s="1" t="s">
        <v>4</v>
      </c>
    </row>
    <row r="14" spans="1:9" x14ac:dyDescent="0.35">
      <c r="A14" s="1" t="s">
        <v>2</v>
      </c>
      <c r="B14" s="1">
        <f>G4*60</f>
        <v>708570</v>
      </c>
      <c r="C14" s="2">
        <f>G4*9</f>
        <v>106285.5</v>
      </c>
    </row>
    <row r="15" spans="1:9" x14ac:dyDescent="0.35">
      <c r="A15" s="1" t="s">
        <v>1</v>
      </c>
      <c r="B15" s="1">
        <f>G5*60</f>
        <v>1128210</v>
      </c>
      <c r="C15" s="1">
        <f>G5*9</f>
        <v>169231.5</v>
      </c>
    </row>
    <row r="16" spans="1:9" x14ac:dyDescent="0.35">
      <c r="A16" s="1" t="s">
        <v>0</v>
      </c>
      <c r="B16" s="2">
        <f>G6*60</f>
        <v>1280880</v>
      </c>
      <c r="C16" s="1">
        <f>G6*9</f>
        <v>192132</v>
      </c>
    </row>
  </sheetData>
  <hyperlinks>
    <hyperlink ref="I8" r:id="rId1" xr:uid="{703AF9CA-B1D3-48BF-8959-11E161EED3BE}"/>
    <hyperlink ref="I9" r:id="rId2" xr:uid="{A628F133-D95B-4878-8820-C5713A30A754}"/>
    <hyperlink ref="I10" r:id="rId3" xr:uid="{837B3FB9-FB92-43C9-82D7-CEE33FBE00E6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GHG emissions</vt:lpstr>
      <vt:lpstr>Material Breakdown</vt:lpstr>
      <vt:lpstr>LCA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 Cousins</dc:creator>
  <cp:lastModifiedBy>Riley Cousins</cp:lastModifiedBy>
  <dcterms:created xsi:type="dcterms:W3CDTF">2021-11-27T00:13:05Z</dcterms:created>
  <dcterms:modified xsi:type="dcterms:W3CDTF">2021-11-27T00:15:58Z</dcterms:modified>
</cp:coreProperties>
</file>