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shas/Dropbox/PhD/PhD Aim 4 Sof-XB/Plos/PloS final/Figshare/"/>
    </mc:Choice>
  </mc:AlternateContent>
  <xr:revisionPtr revIDLastSave="0" documentId="13_ncr:1_{2E88A096-5442-054D-9B08-05F8E9AEF0FE}" xr6:coauthVersionLast="45" xr6:coauthVersionMax="45" xr10:uidLastSave="{00000000-0000-0000-0000-000000000000}"/>
  <bookViews>
    <workbookView xWindow="3280" yWindow="-18540" windowWidth="32220" windowHeight="18200" firstSheet="2" activeTab="9" xr2:uid="{1AEB466F-FABD-ED40-A09A-F31BA9AA89C2}"/>
  </bookViews>
  <sheets>
    <sheet name="VSV eGFP 171013 " sheetId="10" r:id="rId1"/>
    <sheet name="171018 AD dil" sheetId="12" r:id="rId2"/>
    <sheet name="171129" sheetId="3" r:id="rId3"/>
    <sheet name="171219 G2 " sheetId="4" r:id="rId4"/>
    <sheet name="180224 27 AD" sheetId="8" r:id="rId5"/>
    <sheet name="180420" sheetId="9" r:id="rId6"/>
    <sheet name="180711 " sheetId="7" r:id="rId7"/>
    <sheet name="VSV luc 2003 31" sheetId="13" r:id="rId8"/>
    <sheet name="VSV luc 2004 06 09" sheetId="14" r:id="rId9"/>
    <sheet name="Alu Quantitative PCR, 04-01-20" sheetId="19" r:id="rId10"/>
    <sheet name="Alu, Quantitative PCR, 16-1-20" sheetId="20" r:id="rId11"/>
  </sheets>
  <externalReferences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" i="20" l="1"/>
  <c r="X7" i="20"/>
  <c r="Y7" i="20"/>
  <c r="Z7" i="20"/>
  <c r="AA7" i="20"/>
  <c r="AF7" i="20"/>
  <c r="AF8" i="20" s="1"/>
  <c r="AF9" i="20" s="1"/>
  <c r="AF11" i="20" s="1"/>
  <c r="AG7" i="20"/>
  <c r="AG8" i="20" s="1"/>
  <c r="AG9" i="20" s="1"/>
  <c r="AG11" i="20" s="1"/>
  <c r="AH7" i="20"/>
  <c r="AH8" i="20" s="1"/>
  <c r="AH9" i="20" s="1"/>
  <c r="AH11" i="20" s="1"/>
  <c r="AI7" i="20"/>
  <c r="AI8" i="20" s="1"/>
  <c r="AI9" i="20" s="1"/>
  <c r="AI11" i="20" s="1"/>
  <c r="AJ7" i="20"/>
  <c r="W8" i="20"/>
  <c r="W9" i="20" s="1"/>
  <c r="W11" i="20" s="1"/>
  <c r="X8" i="20"/>
  <c r="X9" i="20" s="1"/>
  <c r="X11" i="20" s="1"/>
  <c r="Y8" i="20"/>
  <c r="Z8" i="20"/>
  <c r="Y9" i="20"/>
  <c r="Y11" i="20" s="1"/>
  <c r="Z9" i="20"/>
  <c r="Z11" i="20" s="1"/>
  <c r="AJ11" i="20"/>
  <c r="W24" i="20"/>
  <c r="W25" i="20" s="1"/>
  <c r="W26" i="20" s="1"/>
  <c r="W28" i="20" s="1"/>
  <c r="X24" i="20"/>
  <c r="Y24" i="20"/>
  <c r="Z24" i="20"/>
  <c r="AA24" i="20"/>
  <c r="AF24" i="20"/>
  <c r="AF25" i="20" s="1"/>
  <c r="AF26" i="20" s="1"/>
  <c r="AF28" i="20" s="1"/>
  <c r="AG24" i="20"/>
  <c r="AH24" i="20"/>
  <c r="AH25" i="20" s="1"/>
  <c r="AH26" i="20" s="1"/>
  <c r="AH28" i="20" s="1"/>
  <c r="AI24" i="20"/>
  <c r="AI25" i="20" s="1"/>
  <c r="AI26" i="20" s="1"/>
  <c r="AI28" i="20" s="1"/>
  <c r="AJ24" i="20"/>
  <c r="X25" i="20"/>
  <c r="X26" i="20" s="1"/>
  <c r="X28" i="20" s="1"/>
  <c r="Y25" i="20"/>
  <c r="Y26" i="20" s="1"/>
  <c r="Y28" i="20" s="1"/>
  <c r="Z25" i="20"/>
  <c r="AG25" i="20"/>
  <c r="Z26" i="20"/>
  <c r="Z28" i="20" s="1"/>
  <c r="AG26" i="20"/>
  <c r="AG28" i="20" s="1"/>
  <c r="AJ28" i="20"/>
  <c r="W68" i="20"/>
  <c r="X68" i="20"/>
  <c r="Y68" i="20"/>
  <c r="Z68" i="20"/>
  <c r="AA68" i="20"/>
  <c r="AB68" i="20"/>
  <c r="W69" i="20"/>
  <c r="X69" i="20"/>
  <c r="Y69" i="20"/>
  <c r="Z69" i="20"/>
  <c r="AA69" i="20"/>
  <c r="AB69" i="20"/>
  <c r="N17" i="19" l="1"/>
  <c r="O17" i="19"/>
  <c r="P17" i="19"/>
  <c r="P18" i="19" s="1"/>
  <c r="P19" i="19" s="1"/>
  <c r="P21" i="19" s="1"/>
  <c r="Q17" i="19"/>
  <c r="R17" i="19"/>
  <c r="W17" i="19"/>
  <c r="W18" i="19" s="1"/>
  <c r="W19" i="19" s="1"/>
  <c r="W21" i="19" s="1"/>
  <c r="X17" i="19"/>
  <c r="X18" i="19" s="1"/>
  <c r="X19" i="19" s="1"/>
  <c r="X21" i="19" s="1"/>
  <c r="Y17" i="19"/>
  <c r="Y18" i="19" s="1"/>
  <c r="Y19" i="19" s="1"/>
  <c r="Y21" i="19" s="1"/>
  <c r="Z17" i="19"/>
  <c r="Z18" i="19" s="1"/>
  <c r="Z19" i="19" s="1"/>
  <c r="Z21" i="19" s="1"/>
  <c r="AA17" i="19"/>
  <c r="N18" i="19"/>
  <c r="N19" i="19" s="1"/>
  <c r="N21" i="19" s="1"/>
  <c r="O18" i="19"/>
  <c r="O19" i="19" s="1"/>
  <c r="O21" i="19" s="1"/>
  <c r="Q18" i="19"/>
  <c r="Q19" i="19"/>
  <c r="Q21" i="19" s="1"/>
  <c r="AA21" i="19"/>
  <c r="L37" i="19"/>
  <c r="M37" i="19"/>
  <c r="N37" i="19"/>
  <c r="O37" i="19"/>
  <c r="P37" i="19"/>
  <c r="Q37" i="19"/>
  <c r="L38" i="19"/>
  <c r="M38" i="19"/>
  <c r="N38" i="19"/>
  <c r="O38" i="19"/>
  <c r="P38" i="19"/>
  <c r="Q38" i="19"/>
  <c r="AM64" i="14" l="1"/>
  <c r="AC64" i="14"/>
  <c r="AD64" i="14"/>
  <c r="AE64" i="14"/>
  <c r="AF64" i="14"/>
  <c r="AG64" i="14"/>
  <c r="AH64" i="14"/>
  <c r="AI64" i="14"/>
  <c r="AJ64" i="14"/>
  <c r="AK64" i="14"/>
  <c r="AL64" i="14"/>
  <c r="AB64" i="14"/>
  <c r="AA66" i="14"/>
  <c r="AA67" i="14"/>
  <c r="AA68" i="14"/>
  <c r="AA69" i="14"/>
  <c r="AA70" i="14"/>
  <c r="AA71" i="14"/>
  <c r="AA72" i="14"/>
  <c r="AA73" i="14"/>
  <c r="AA65" i="14"/>
  <c r="AB53" i="13"/>
  <c r="AC53" i="13"/>
  <c r="AD53" i="13"/>
  <c r="AE53" i="13"/>
  <c r="AF53" i="13"/>
  <c r="AG53" i="13"/>
  <c r="AH53" i="13"/>
  <c r="AI53" i="13"/>
  <c r="AJ53" i="13"/>
  <c r="AA54" i="13"/>
  <c r="AA55" i="13"/>
  <c r="AA56" i="13"/>
  <c r="AA57" i="13"/>
  <c r="AA53" i="13"/>
  <c r="J20" i="13"/>
  <c r="I20" i="13"/>
  <c r="H20" i="13"/>
  <c r="G20" i="13"/>
  <c r="F20" i="13"/>
  <c r="E20" i="13"/>
  <c r="D20" i="13"/>
  <c r="D11" i="13"/>
  <c r="E11" i="13"/>
  <c r="F11" i="13"/>
  <c r="G11" i="13"/>
  <c r="H11" i="13"/>
  <c r="I11" i="13"/>
  <c r="J11" i="13"/>
  <c r="G47" i="13"/>
  <c r="J21" i="13"/>
  <c r="I21" i="13"/>
  <c r="H21" i="13"/>
  <c r="G21" i="13"/>
  <c r="G22" i="13" s="1"/>
  <c r="G44" i="13" s="1"/>
  <c r="F21" i="13"/>
  <c r="F22" i="13" s="1"/>
  <c r="F44" i="13" s="1"/>
  <c r="F47" i="13" s="1"/>
  <c r="E21" i="13"/>
  <c r="E22" i="13" s="1"/>
  <c r="E44" i="13" s="1"/>
  <c r="E47" i="13" s="1"/>
  <c r="D21" i="13"/>
  <c r="D22" i="13" s="1"/>
  <c r="D44" i="13" s="1"/>
  <c r="D47" i="13" s="1"/>
  <c r="E12" i="13"/>
  <c r="E13" i="13" s="1"/>
  <c r="E43" i="13" s="1"/>
  <c r="F12" i="13"/>
  <c r="F13" i="13" s="1"/>
  <c r="F43" i="13" s="1"/>
  <c r="G12" i="13"/>
  <c r="G13" i="13" s="1"/>
  <c r="G43" i="13" s="1"/>
  <c r="H12" i="13"/>
  <c r="H13" i="13" s="1"/>
  <c r="H43" i="13" s="1"/>
  <c r="I12" i="13"/>
  <c r="J12" i="13"/>
  <c r="D12" i="13"/>
  <c r="J22" i="13"/>
  <c r="J44" i="13" s="1"/>
  <c r="J47" i="13" s="1"/>
  <c r="I22" i="13"/>
  <c r="I44" i="13" s="1"/>
  <c r="I47" i="13" s="1"/>
  <c r="H22" i="13"/>
  <c r="H44" i="13" s="1"/>
  <c r="H47" i="13" s="1"/>
  <c r="J37" i="14"/>
  <c r="J38" i="14" s="1"/>
  <c r="I37" i="14"/>
  <c r="I38" i="14" s="1"/>
  <c r="H37" i="14"/>
  <c r="H38" i="14" s="1"/>
  <c r="G37" i="14"/>
  <c r="G38" i="14" s="1"/>
  <c r="F37" i="14"/>
  <c r="F38" i="14" s="1"/>
  <c r="E37" i="14"/>
  <c r="E38" i="14" s="1"/>
  <c r="D37" i="14"/>
  <c r="D38" i="14" s="1"/>
  <c r="J28" i="14"/>
  <c r="J29" i="14" s="1"/>
  <c r="I28" i="14"/>
  <c r="I29" i="14" s="1"/>
  <c r="H28" i="14"/>
  <c r="H29" i="14" s="1"/>
  <c r="G28" i="14"/>
  <c r="G29" i="14" s="1"/>
  <c r="F28" i="14"/>
  <c r="F29" i="14" s="1"/>
  <c r="E28" i="14"/>
  <c r="E29" i="14" s="1"/>
  <c r="D28" i="14"/>
  <c r="D29" i="14" s="1"/>
  <c r="J19" i="14"/>
  <c r="J20" i="14" s="1"/>
  <c r="I19" i="14"/>
  <c r="I20" i="14" s="1"/>
  <c r="H19" i="14"/>
  <c r="H20" i="14" s="1"/>
  <c r="G19" i="14"/>
  <c r="G20" i="14" s="1"/>
  <c r="F19" i="14"/>
  <c r="F20" i="14" s="1"/>
  <c r="E19" i="14"/>
  <c r="E20" i="14" s="1"/>
  <c r="D19" i="14"/>
  <c r="D20" i="14" s="1"/>
  <c r="O13" i="14"/>
  <c r="O12" i="14"/>
  <c r="O11" i="14"/>
  <c r="O10" i="14"/>
  <c r="O9" i="14"/>
  <c r="O8" i="14"/>
  <c r="O7" i="14"/>
  <c r="J10" i="14"/>
  <c r="J11" i="14" s="1"/>
  <c r="I10" i="14"/>
  <c r="I11" i="14" s="1"/>
  <c r="H10" i="14"/>
  <c r="H11" i="14" s="1"/>
  <c r="G10" i="14"/>
  <c r="F10" i="14"/>
  <c r="E10" i="14"/>
  <c r="D10" i="14"/>
  <c r="D11" i="14" s="1"/>
  <c r="O6" i="14"/>
  <c r="J19" i="13"/>
  <c r="I19" i="13"/>
  <c r="H19" i="13"/>
  <c r="G19" i="13"/>
  <c r="F19" i="13"/>
  <c r="E19" i="13"/>
  <c r="D19" i="13"/>
  <c r="J10" i="13"/>
  <c r="I10" i="13"/>
  <c r="H10" i="13"/>
  <c r="G10" i="13"/>
  <c r="F10" i="13"/>
  <c r="E10" i="13"/>
  <c r="D10" i="13"/>
  <c r="I21" i="14" l="1"/>
  <c r="I22" i="14" s="1"/>
  <c r="I45" i="14" s="1"/>
  <c r="G30" i="14"/>
  <c r="G31" i="14" s="1"/>
  <c r="G44" i="14" s="1"/>
  <c r="F30" i="14"/>
  <c r="F31" i="14" s="1"/>
  <c r="F44" i="14" s="1"/>
  <c r="I39" i="14"/>
  <c r="I40" i="14" s="1"/>
  <c r="I46" i="14" s="1"/>
  <c r="H39" i="14"/>
  <c r="H40" i="14" s="1"/>
  <c r="H46" i="14" s="1"/>
  <c r="E39" i="14"/>
  <c r="E40" i="14" s="1"/>
  <c r="E46" i="14" s="1"/>
  <c r="E51" i="14" s="1"/>
  <c r="F39" i="14"/>
  <c r="F40" i="14" s="1"/>
  <c r="F46" i="14" s="1"/>
  <c r="F51" i="14" s="1"/>
  <c r="E30" i="14"/>
  <c r="E31" i="14" s="1"/>
  <c r="E44" i="14" s="1"/>
  <c r="E49" i="14" s="1"/>
  <c r="H21" i="14"/>
  <c r="H22" i="14" s="1"/>
  <c r="H45" i="14" s="1"/>
  <c r="H50" i="14" s="1"/>
  <c r="G39" i="14"/>
  <c r="G40" i="14" s="1"/>
  <c r="G46" i="14" s="1"/>
  <c r="G51" i="14" s="1"/>
  <c r="G21" i="14"/>
  <c r="G22" i="14" s="1"/>
  <c r="G45" i="14" s="1"/>
  <c r="G50" i="14" s="1"/>
  <c r="D30" i="14"/>
  <c r="D31" i="14" s="1"/>
  <c r="D44" i="14" s="1"/>
  <c r="D49" i="14" s="1"/>
  <c r="J30" i="14"/>
  <c r="J31" i="14" s="1"/>
  <c r="J44" i="14" s="1"/>
  <c r="F21" i="14"/>
  <c r="F22" i="14" s="1"/>
  <c r="F45" i="14" s="1"/>
  <c r="E21" i="14"/>
  <c r="E22" i="14" s="1"/>
  <c r="E45" i="14" s="1"/>
  <c r="E50" i="14" s="1"/>
  <c r="I30" i="14"/>
  <c r="I31" i="14" s="1"/>
  <c r="I44" i="14" s="1"/>
  <c r="D39" i="14"/>
  <c r="D40" i="14" s="1"/>
  <c r="D46" i="14" s="1"/>
  <c r="D51" i="14" s="1"/>
  <c r="H30" i="14"/>
  <c r="H31" i="14" s="1"/>
  <c r="H44" i="14" s="1"/>
  <c r="J39" i="14"/>
  <c r="J40" i="14" s="1"/>
  <c r="J46" i="14" s="1"/>
  <c r="J51" i="14" s="1"/>
  <c r="G12" i="14"/>
  <c r="G13" i="14" s="1"/>
  <c r="G43" i="14" s="1"/>
  <c r="G48" i="14" s="1"/>
  <c r="D21" i="14"/>
  <c r="D22" i="14" s="1"/>
  <c r="D45" i="14" s="1"/>
  <c r="D50" i="14" s="1"/>
  <c r="I12" i="14"/>
  <c r="I13" i="14" s="1"/>
  <c r="I43" i="14" s="1"/>
  <c r="I48" i="14" s="1"/>
  <c r="H12" i="14"/>
  <c r="H13" i="14" s="1"/>
  <c r="H43" i="14" s="1"/>
  <c r="H48" i="14" s="1"/>
  <c r="J21" i="14"/>
  <c r="J22" i="14" s="1"/>
  <c r="J45" i="14" s="1"/>
  <c r="J50" i="14" s="1"/>
  <c r="F12" i="14"/>
  <c r="F13" i="14" s="1"/>
  <c r="F43" i="14" s="1"/>
  <c r="E12" i="14"/>
  <c r="E13" i="14" s="1"/>
  <c r="E43" i="14" s="1"/>
  <c r="E48" i="14" s="1"/>
  <c r="J12" i="14"/>
  <c r="J13" i="14" s="1"/>
  <c r="J43" i="14" s="1"/>
  <c r="J48" i="14" s="1"/>
  <c r="D12" i="14"/>
  <c r="D13" i="14" s="1"/>
  <c r="D43" i="14" s="1"/>
  <c r="D48" i="14" s="1"/>
  <c r="H46" i="13"/>
  <c r="E46" i="13"/>
  <c r="F46" i="13"/>
  <c r="G46" i="13"/>
  <c r="I13" i="13"/>
  <c r="I43" i="13" s="1"/>
  <c r="I46" i="13" s="1"/>
  <c r="D13" i="13"/>
  <c r="D43" i="13" s="1"/>
  <c r="D46" i="13" s="1"/>
  <c r="J13" i="13"/>
  <c r="J43" i="13" s="1"/>
  <c r="J46" i="13" s="1"/>
  <c r="G11" i="14"/>
  <c r="E11" i="14"/>
  <c r="F11" i="14"/>
  <c r="AA73" i="4"/>
  <c r="AA72" i="4"/>
  <c r="AA71" i="4"/>
  <c r="AA70" i="4"/>
  <c r="AA69" i="4"/>
  <c r="AA68" i="4"/>
  <c r="AA67" i="4"/>
  <c r="AA66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H34" i="4"/>
  <c r="I34" i="4"/>
  <c r="J34" i="4"/>
  <c r="K34" i="4"/>
  <c r="L34" i="4"/>
  <c r="M34" i="4"/>
  <c r="G34" i="4"/>
  <c r="G27" i="4"/>
  <c r="H27" i="4"/>
  <c r="I27" i="4"/>
  <c r="J27" i="4"/>
  <c r="K27" i="4"/>
  <c r="L27" i="4"/>
  <c r="M27" i="4"/>
  <c r="D27" i="4"/>
  <c r="R30" i="4"/>
  <c r="S30" i="4" s="1"/>
  <c r="R31" i="4"/>
  <c r="S31" i="4" s="1"/>
  <c r="R32" i="4"/>
  <c r="S32" i="4" s="1"/>
  <c r="R33" i="4"/>
  <c r="S33" i="4" s="1"/>
  <c r="R34" i="4"/>
  <c r="S34" i="4"/>
  <c r="R37" i="4"/>
  <c r="S37" i="4" s="1"/>
  <c r="R38" i="4"/>
  <c r="S38" i="4" s="1"/>
  <c r="R39" i="4"/>
  <c r="S39" i="4" s="1"/>
  <c r="P61" i="4"/>
  <c r="P67" i="4" s="1"/>
  <c r="P62" i="4"/>
  <c r="P65" i="4"/>
  <c r="P66" i="4"/>
  <c r="AA73" i="8"/>
  <c r="AA72" i="8"/>
  <c r="AA71" i="8"/>
  <c r="AA70" i="8"/>
  <c r="AA69" i="8"/>
  <c r="AA68" i="8"/>
  <c r="AA67" i="8"/>
  <c r="AA66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73" i="9"/>
  <c r="AA72" i="9"/>
  <c r="AA71" i="9"/>
  <c r="AA70" i="9"/>
  <c r="AA69" i="9"/>
  <c r="AA68" i="9"/>
  <c r="AA67" i="9"/>
  <c r="AA66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C63" i="7"/>
  <c r="AD63" i="7"/>
  <c r="AE63" i="7"/>
  <c r="AF63" i="7"/>
  <c r="AG63" i="7"/>
  <c r="AH63" i="7"/>
  <c r="AI63" i="7"/>
  <c r="AJ63" i="7"/>
  <c r="AK63" i="7"/>
  <c r="AL63" i="7"/>
  <c r="AM63" i="7"/>
  <c r="AB63" i="7"/>
  <c r="AA65" i="7"/>
  <c r="AA66" i="7"/>
  <c r="AA67" i="7"/>
  <c r="AA68" i="7"/>
  <c r="AA69" i="7"/>
  <c r="AA70" i="7"/>
  <c r="AA71" i="7"/>
  <c r="AA64" i="7"/>
  <c r="H51" i="14" l="1"/>
  <c r="H49" i="14"/>
  <c r="I49" i="14"/>
  <c r="I51" i="14"/>
  <c r="F49" i="14"/>
  <c r="F50" i="14"/>
  <c r="G49" i="14"/>
  <c r="F48" i="14"/>
  <c r="J49" i="14"/>
  <c r="I50" i="14"/>
  <c r="AB65" i="3"/>
  <c r="AC65" i="3"/>
  <c r="AD65" i="3"/>
  <c r="AE65" i="3"/>
  <c r="AF65" i="3"/>
  <c r="AG65" i="3"/>
  <c r="AH65" i="3"/>
  <c r="AI65" i="3"/>
  <c r="AJ65" i="3"/>
  <c r="AK65" i="3"/>
  <c r="AL65" i="3"/>
  <c r="AA65" i="3"/>
  <c r="Z67" i="3"/>
  <c r="Z68" i="3"/>
  <c r="Z69" i="3"/>
  <c r="Z70" i="3"/>
  <c r="Z71" i="3"/>
  <c r="Z72" i="3"/>
  <c r="Z73" i="3"/>
  <c r="Z66" i="3"/>
  <c r="AM65" i="3"/>
  <c r="AA72" i="12"/>
  <c r="AA71" i="12"/>
  <c r="AA70" i="12"/>
  <c r="AA69" i="12"/>
  <c r="AA68" i="12"/>
  <c r="AA67" i="12"/>
  <c r="AA66" i="12"/>
  <c r="AA65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C64" i="10"/>
  <c r="AD64" i="10"/>
  <c r="AE64" i="10"/>
  <c r="AF64" i="10"/>
  <c r="AG64" i="10"/>
  <c r="AH64" i="10"/>
  <c r="AI64" i="10"/>
  <c r="AJ64" i="10"/>
  <c r="AK64" i="10"/>
  <c r="AL64" i="10"/>
  <c r="AM64" i="10"/>
  <c r="AA66" i="10"/>
  <c r="AA67" i="10"/>
  <c r="AA68" i="10"/>
  <c r="AA69" i="10"/>
  <c r="AA70" i="10"/>
  <c r="AA71" i="10"/>
  <c r="AA72" i="10"/>
  <c r="AB64" i="10"/>
  <c r="AA65" i="10"/>
  <c r="D25" i="9"/>
  <c r="C37" i="9"/>
  <c r="C38" i="9"/>
  <c r="C42" i="9"/>
  <c r="C43" i="9"/>
  <c r="C44" i="9"/>
  <c r="C45" i="9"/>
  <c r="C46" i="9"/>
  <c r="B38" i="9"/>
  <c r="B39" i="9"/>
  <c r="B40" i="9"/>
  <c r="B42" i="9"/>
  <c r="B43" i="9"/>
  <c r="B44" i="9"/>
  <c r="B45" i="9"/>
  <c r="B46" i="9"/>
  <c r="B47" i="9"/>
  <c r="B37" i="9"/>
  <c r="C17" i="9"/>
  <c r="C16" i="9"/>
  <c r="C12" i="9"/>
  <c r="C11" i="9"/>
  <c r="C10" i="9"/>
  <c r="C9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8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2" i="9"/>
  <c r="A43" i="9"/>
  <c r="A44" i="9"/>
  <c r="A45" i="9"/>
  <c r="A46" i="9"/>
  <c r="A47" i="9"/>
  <c r="A2" i="9"/>
  <c r="A2" i="8"/>
  <c r="D20" i="8"/>
  <c r="C2" i="8"/>
  <c r="C3" i="8"/>
  <c r="C4" i="8"/>
  <c r="C5" i="8"/>
  <c r="C7" i="8"/>
  <c r="C37" i="8"/>
  <c r="C38" i="8"/>
  <c r="C45" i="8"/>
  <c r="C46" i="8"/>
  <c r="C47" i="8"/>
  <c r="C48" i="8"/>
  <c r="C49" i="8"/>
  <c r="C50" i="8"/>
  <c r="C51" i="8"/>
  <c r="B2" i="8"/>
  <c r="B3" i="8"/>
  <c r="B4" i="8"/>
  <c r="B5" i="8"/>
  <c r="B7" i="8"/>
  <c r="B8" i="8"/>
  <c r="B10" i="8"/>
  <c r="B11" i="8"/>
  <c r="B12" i="8"/>
  <c r="B13" i="8"/>
  <c r="B14" i="8"/>
  <c r="B15" i="8"/>
  <c r="B16" i="8"/>
  <c r="B17" i="8"/>
  <c r="B18" i="8"/>
  <c r="B19" i="8"/>
  <c r="B20" i="8"/>
  <c r="B21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A3" i="8"/>
  <c r="A4" i="8"/>
  <c r="A5" i="8"/>
  <c r="A6" i="8"/>
  <c r="A7" i="8"/>
  <c r="A8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2" i="4"/>
  <c r="A12" i="4"/>
  <c r="A45" i="4"/>
  <c r="D23" i="4"/>
  <c r="D25" i="4" s="1"/>
  <c r="D40" i="4" s="1"/>
  <c r="D42" i="4" s="1"/>
  <c r="D9" i="4"/>
  <c r="D11" i="4" s="1"/>
  <c r="D13" i="4" s="1"/>
  <c r="D37" i="4" s="1"/>
  <c r="D39" i="4" s="1"/>
  <c r="F40" i="4"/>
  <c r="N40" i="4"/>
  <c r="F41" i="4"/>
  <c r="N41" i="4"/>
  <c r="E41" i="4"/>
  <c r="E40" i="4"/>
  <c r="M32" i="4"/>
  <c r="L32" i="4"/>
  <c r="K32" i="4"/>
  <c r="J32" i="4"/>
  <c r="J41" i="4" s="1"/>
  <c r="I32" i="4"/>
  <c r="H32" i="4"/>
  <c r="G32" i="4"/>
  <c r="H25" i="4"/>
  <c r="H40" i="4" s="1"/>
  <c r="I25" i="4"/>
  <c r="J25" i="4"/>
  <c r="J40" i="4" s="1"/>
  <c r="K25" i="4"/>
  <c r="L25" i="4"/>
  <c r="L40" i="4" s="1"/>
  <c r="M25" i="4"/>
  <c r="M40" i="4" s="1"/>
  <c r="G25" i="4"/>
  <c r="G40" i="4" s="1"/>
  <c r="A46" i="4"/>
  <c r="A43" i="4"/>
  <c r="A42" i="4"/>
  <c r="A41" i="4"/>
  <c r="A40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1" i="4"/>
  <c r="A10" i="4"/>
  <c r="A9" i="4"/>
  <c r="A8" i="4"/>
  <c r="A6" i="4"/>
  <c r="A5" i="4"/>
  <c r="A4" i="4"/>
  <c r="A3" i="4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5" i="3"/>
  <c r="C6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4" i="3"/>
  <c r="A3" i="3"/>
  <c r="A4" i="3"/>
  <c r="A5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2" i="3"/>
  <c r="A3" i="12"/>
  <c r="A4" i="12"/>
  <c r="A5" i="12"/>
  <c r="A6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2" i="12"/>
  <c r="E37" i="12"/>
  <c r="F37" i="12"/>
  <c r="G37" i="12"/>
  <c r="H37" i="12"/>
  <c r="E38" i="12"/>
  <c r="F38" i="12"/>
  <c r="G38" i="12"/>
  <c r="H38" i="12"/>
  <c r="D38" i="12"/>
  <c r="D37" i="12"/>
  <c r="G41" i="4" l="1"/>
  <c r="I41" i="4"/>
  <c r="D43" i="4"/>
  <c r="M41" i="4"/>
  <c r="M42" i="4" s="1"/>
  <c r="K40" i="4"/>
  <c r="K41" i="4"/>
  <c r="L41" i="4"/>
  <c r="H41" i="4"/>
  <c r="H42" i="4" s="1"/>
  <c r="G42" i="4"/>
  <c r="L42" i="4"/>
  <c r="J42" i="4"/>
  <c r="K42" i="4" l="1"/>
  <c r="K43" i="4" s="1"/>
  <c r="H43" i="4"/>
  <c r="M43" i="4"/>
  <c r="L43" i="4"/>
  <c r="J43" i="4"/>
  <c r="G43" i="4"/>
  <c r="V68" i="12" l="1"/>
  <c r="U68" i="12"/>
  <c r="T68" i="12"/>
  <c r="S68" i="12"/>
  <c r="R68" i="12"/>
  <c r="Q68" i="12"/>
  <c r="O68" i="12"/>
  <c r="T44" i="12"/>
  <c r="T43" i="12"/>
  <c r="T42" i="12"/>
  <c r="T41" i="12"/>
  <c r="N39" i="12"/>
  <c r="N43" i="12" s="1"/>
  <c r="T40" i="12"/>
  <c r="M38" i="12"/>
  <c r="P38" i="12" s="1"/>
  <c r="L38" i="12"/>
  <c r="Q38" i="12" s="1"/>
  <c r="K38" i="12"/>
  <c r="J38" i="12"/>
  <c r="T39" i="12"/>
  <c r="M37" i="12"/>
  <c r="L37" i="12"/>
  <c r="K37" i="12"/>
  <c r="J37" i="12"/>
  <c r="T38" i="12"/>
  <c r="T37" i="12"/>
  <c r="M32" i="12"/>
  <c r="L32" i="12"/>
  <c r="K32" i="12"/>
  <c r="J32" i="12"/>
  <c r="H32" i="12"/>
  <c r="H33" i="12" s="1"/>
  <c r="H34" i="12" s="1"/>
  <c r="H35" i="12" s="1"/>
  <c r="H42" i="12" s="1"/>
  <c r="G32" i="12"/>
  <c r="G33" i="12" s="1"/>
  <c r="G34" i="12" s="1"/>
  <c r="G35" i="12" s="1"/>
  <c r="G42" i="12" s="1"/>
  <c r="F32" i="12"/>
  <c r="F33" i="12" s="1"/>
  <c r="F34" i="12" s="1"/>
  <c r="F35" i="12" s="1"/>
  <c r="F42" i="12" s="1"/>
  <c r="E32" i="12"/>
  <c r="E33" i="12" s="1"/>
  <c r="E34" i="12" s="1"/>
  <c r="E35" i="12" s="1"/>
  <c r="E42" i="12" s="1"/>
  <c r="D32" i="12"/>
  <c r="D33" i="12" s="1"/>
  <c r="D34" i="12" s="1"/>
  <c r="D35" i="12" s="1"/>
  <c r="D42" i="12" s="1"/>
  <c r="S32" i="12"/>
  <c r="S31" i="12"/>
  <c r="S30" i="12"/>
  <c r="S29" i="12"/>
  <c r="S28" i="12"/>
  <c r="S27" i="12"/>
  <c r="M25" i="12"/>
  <c r="L25" i="12"/>
  <c r="K25" i="12"/>
  <c r="J25" i="12"/>
  <c r="H25" i="12"/>
  <c r="H26" i="12" s="1"/>
  <c r="H27" i="12" s="1"/>
  <c r="H28" i="12" s="1"/>
  <c r="H41" i="12" s="1"/>
  <c r="G25" i="12"/>
  <c r="G26" i="12" s="1"/>
  <c r="G27" i="12" s="1"/>
  <c r="G28" i="12" s="1"/>
  <c r="G41" i="12" s="1"/>
  <c r="F25" i="12"/>
  <c r="F26" i="12" s="1"/>
  <c r="F27" i="12" s="1"/>
  <c r="F28" i="12" s="1"/>
  <c r="F41" i="12" s="1"/>
  <c r="E25" i="12"/>
  <c r="E26" i="12" s="1"/>
  <c r="E27" i="12" s="1"/>
  <c r="E28" i="12" s="1"/>
  <c r="E41" i="12" s="1"/>
  <c r="D25" i="12"/>
  <c r="D26" i="12" s="1"/>
  <c r="D27" i="12" s="1"/>
  <c r="D28" i="12" s="1"/>
  <c r="D41" i="12" s="1"/>
  <c r="S26" i="12"/>
  <c r="W25" i="12"/>
  <c r="S25" i="12"/>
  <c r="L19" i="12"/>
  <c r="M18" i="12"/>
  <c r="L18" i="12"/>
  <c r="L20" i="12" s="1"/>
  <c r="L21" i="12" s="1"/>
  <c r="L40" i="12" s="1"/>
  <c r="L46" i="12" s="1"/>
  <c r="K18" i="12"/>
  <c r="K20" i="12" s="1"/>
  <c r="K21" i="12" s="1"/>
  <c r="K40" i="12" s="1"/>
  <c r="K46" i="12" s="1"/>
  <c r="J18" i="12"/>
  <c r="J20" i="12" s="1"/>
  <c r="J21" i="12" s="1"/>
  <c r="J40" i="12" s="1"/>
  <c r="J46" i="12" s="1"/>
  <c r="H18" i="12"/>
  <c r="H19" i="12" s="1"/>
  <c r="H20" i="12" s="1"/>
  <c r="H21" i="12" s="1"/>
  <c r="H40" i="12" s="1"/>
  <c r="H46" i="12" s="1"/>
  <c r="G18" i="12"/>
  <c r="F18" i="12"/>
  <c r="F19" i="12" s="1"/>
  <c r="F20" i="12" s="1"/>
  <c r="F21" i="12" s="1"/>
  <c r="F40" i="12" s="1"/>
  <c r="F46" i="12" s="1"/>
  <c r="E18" i="12"/>
  <c r="D18" i="12"/>
  <c r="D19" i="12" s="1"/>
  <c r="D20" i="12" s="1"/>
  <c r="D21" i="12" s="1"/>
  <c r="D40" i="12" s="1"/>
  <c r="G12" i="12"/>
  <c r="G13" i="12" s="1"/>
  <c r="G14" i="12" s="1"/>
  <c r="G39" i="12" s="1"/>
  <c r="M11" i="12"/>
  <c r="M13" i="12" s="1"/>
  <c r="M14" i="12" s="1"/>
  <c r="M39" i="12" s="1"/>
  <c r="L11" i="12"/>
  <c r="K11" i="12"/>
  <c r="K13" i="12" s="1"/>
  <c r="K14" i="12" s="1"/>
  <c r="K39" i="12" s="1"/>
  <c r="J11" i="12"/>
  <c r="J13" i="12" s="1"/>
  <c r="H11" i="12"/>
  <c r="H12" i="12" s="1"/>
  <c r="H13" i="12" s="1"/>
  <c r="H14" i="12" s="1"/>
  <c r="H39" i="12" s="1"/>
  <c r="G11" i="12"/>
  <c r="F11" i="12"/>
  <c r="F12" i="12" s="1"/>
  <c r="F13" i="12" s="1"/>
  <c r="F14" i="12" s="1"/>
  <c r="F39" i="12" s="1"/>
  <c r="E11" i="12"/>
  <c r="D11" i="12"/>
  <c r="I38" i="10"/>
  <c r="H38" i="10"/>
  <c r="G38" i="10"/>
  <c r="F38" i="10"/>
  <c r="S37" i="10"/>
  <c r="T37" i="10" s="1"/>
  <c r="I37" i="10"/>
  <c r="H37" i="10"/>
  <c r="G37" i="10"/>
  <c r="F37" i="10"/>
  <c r="S34" i="10"/>
  <c r="M34" i="10"/>
  <c r="L34" i="10"/>
  <c r="S33" i="10"/>
  <c r="S32" i="10"/>
  <c r="N32" i="10"/>
  <c r="N34" i="10" s="1"/>
  <c r="M32" i="10"/>
  <c r="L32" i="10"/>
  <c r="K32" i="10"/>
  <c r="I32" i="10"/>
  <c r="I34" i="10" s="1"/>
  <c r="F42" i="10" s="1"/>
  <c r="H32" i="10"/>
  <c r="G32" i="10"/>
  <c r="F32" i="10"/>
  <c r="F34" i="10" s="1"/>
  <c r="I42" i="10" s="1"/>
  <c r="E32" i="10"/>
  <c r="E34" i="10" s="1"/>
  <c r="E42" i="10" s="1"/>
  <c r="D32" i="10"/>
  <c r="D34" i="10" s="1"/>
  <c r="D42" i="10" s="1"/>
  <c r="D48" i="10" s="1"/>
  <c r="S31" i="10"/>
  <c r="S30" i="10"/>
  <c r="S29" i="10"/>
  <c r="S27" i="10"/>
  <c r="N27" i="10"/>
  <c r="N25" i="10"/>
  <c r="M25" i="10"/>
  <c r="M27" i="10" s="1"/>
  <c r="L25" i="10"/>
  <c r="L27" i="10" s="1"/>
  <c r="K25" i="10"/>
  <c r="K26" i="10" s="1"/>
  <c r="K27" i="10" s="1"/>
  <c r="I25" i="10"/>
  <c r="I27" i="10" s="1"/>
  <c r="F41" i="10" s="1"/>
  <c r="H25" i="10"/>
  <c r="H27" i="10" s="1"/>
  <c r="G41" i="10" s="1"/>
  <c r="G25" i="10"/>
  <c r="G27" i="10" s="1"/>
  <c r="H41" i="10" s="1"/>
  <c r="F25" i="10"/>
  <c r="F27" i="10" s="1"/>
  <c r="I41" i="10" s="1"/>
  <c r="I47" i="10" s="1"/>
  <c r="E25" i="10"/>
  <c r="D25" i="10"/>
  <c r="D27" i="10" s="1"/>
  <c r="D41" i="10" s="1"/>
  <c r="D47" i="10" s="1"/>
  <c r="N20" i="10"/>
  <c r="E19" i="10"/>
  <c r="N18" i="10"/>
  <c r="M18" i="10"/>
  <c r="M20" i="10" s="1"/>
  <c r="L18" i="10"/>
  <c r="L20" i="10" s="1"/>
  <c r="K18" i="10"/>
  <c r="I18" i="10"/>
  <c r="I20" i="10" s="1"/>
  <c r="F40" i="10" s="1"/>
  <c r="H18" i="10"/>
  <c r="H20" i="10" s="1"/>
  <c r="G40" i="10" s="1"/>
  <c r="G18" i="10"/>
  <c r="F18" i="10"/>
  <c r="F20" i="10" s="1"/>
  <c r="I40" i="10" s="1"/>
  <c r="E18" i="10"/>
  <c r="E20" i="10" s="1"/>
  <c r="E40" i="10" s="1"/>
  <c r="D18" i="10"/>
  <c r="N13" i="10"/>
  <c r="M13" i="10"/>
  <c r="L13" i="10"/>
  <c r="N11" i="10"/>
  <c r="M11" i="10"/>
  <c r="L11" i="10"/>
  <c r="K11" i="10"/>
  <c r="I11" i="10"/>
  <c r="H11" i="10"/>
  <c r="H13" i="10" s="1"/>
  <c r="G39" i="10" s="1"/>
  <c r="G11" i="10"/>
  <c r="F11" i="10"/>
  <c r="F13" i="10" s="1"/>
  <c r="I39" i="10" s="1"/>
  <c r="E11" i="10"/>
  <c r="E13" i="10" s="1"/>
  <c r="E39" i="10" s="1"/>
  <c r="D11" i="10"/>
  <c r="D13" i="10" s="1"/>
  <c r="D39" i="10" s="1"/>
  <c r="N18" i="9"/>
  <c r="M18" i="9"/>
  <c r="L18" i="9"/>
  <c r="K18" i="9"/>
  <c r="J18" i="9"/>
  <c r="I18" i="9"/>
  <c r="H18" i="9"/>
  <c r="G18" i="9"/>
  <c r="F18" i="9"/>
  <c r="E18" i="9"/>
  <c r="U13" i="9"/>
  <c r="D9" i="9" s="1"/>
  <c r="D11" i="9" s="1"/>
  <c r="U12" i="9"/>
  <c r="V12" i="9" s="1"/>
  <c r="U11" i="9"/>
  <c r="V11" i="9" s="1"/>
  <c r="V10" i="9"/>
  <c r="U10" i="9"/>
  <c r="V9" i="9"/>
  <c r="U9" i="9"/>
  <c r="N11" i="9"/>
  <c r="M11" i="9"/>
  <c r="L11" i="9"/>
  <c r="K11" i="9"/>
  <c r="J11" i="9"/>
  <c r="I11" i="9"/>
  <c r="H11" i="9"/>
  <c r="G11" i="9"/>
  <c r="F11" i="9"/>
  <c r="E11" i="9"/>
  <c r="V8" i="9"/>
  <c r="U8" i="9"/>
  <c r="U7" i="9"/>
  <c r="V7" i="9" s="1"/>
  <c r="U6" i="9"/>
  <c r="N80" i="8"/>
  <c r="K80" i="8"/>
  <c r="I80" i="8"/>
  <c r="N79" i="8"/>
  <c r="K79" i="8"/>
  <c r="I79" i="8"/>
  <c r="N78" i="8"/>
  <c r="K78" i="8"/>
  <c r="I78" i="8"/>
  <c r="N77" i="8"/>
  <c r="K77" i="8"/>
  <c r="I77" i="8"/>
  <c r="N76" i="8"/>
  <c r="K76" i="8"/>
  <c r="I76" i="8"/>
  <c r="N75" i="8"/>
  <c r="K75" i="8"/>
  <c r="I75" i="8"/>
  <c r="N74" i="8"/>
  <c r="K74" i="8"/>
  <c r="I74" i="8"/>
  <c r="N73" i="8"/>
  <c r="K73" i="8"/>
  <c r="I73" i="8"/>
  <c r="N72" i="8"/>
  <c r="K72" i="8"/>
  <c r="I72" i="8"/>
  <c r="N71" i="8"/>
  <c r="K71" i="8"/>
  <c r="I71" i="8"/>
  <c r="N70" i="8"/>
  <c r="K70" i="8"/>
  <c r="I70" i="8"/>
  <c r="N69" i="8"/>
  <c r="K69" i="8"/>
  <c r="I69" i="8"/>
  <c r="N68" i="8"/>
  <c r="K68" i="8"/>
  <c r="I68" i="8"/>
  <c r="N67" i="8"/>
  <c r="K67" i="8"/>
  <c r="I67" i="8"/>
  <c r="N66" i="8"/>
  <c r="K66" i="8"/>
  <c r="I66" i="8"/>
  <c r="N65" i="8"/>
  <c r="K65" i="8"/>
  <c r="I65" i="8"/>
  <c r="N64" i="8"/>
  <c r="K64" i="8"/>
  <c r="I64" i="8"/>
  <c r="N63" i="8"/>
  <c r="K63" i="8"/>
  <c r="I63" i="8"/>
  <c r="N62" i="8"/>
  <c r="K62" i="8"/>
  <c r="I62" i="8"/>
  <c r="N61" i="8"/>
  <c r="K61" i="8"/>
  <c r="I61" i="8"/>
  <c r="N32" i="8"/>
  <c r="M32" i="8"/>
  <c r="L32" i="8"/>
  <c r="K32" i="8"/>
  <c r="J32" i="8"/>
  <c r="I32" i="8"/>
  <c r="H32" i="8"/>
  <c r="G32" i="8"/>
  <c r="F32" i="8"/>
  <c r="E32" i="8"/>
  <c r="F26" i="8"/>
  <c r="F28" i="8" s="1"/>
  <c r="F42" i="8" s="1"/>
  <c r="N25" i="8"/>
  <c r="N27" i="8" s="1"/>
  <c r="M25" i="8"/>
  <c r="M27" i="8" s="1"/>
  <c r="L25" i="8"/>
  <c r="L27" i="8" s="1"/>
  <c r="K25" i="8"/>
  <c r="K27" i="8" s="1"/>
  <c r="J25" i="8"/>
  <c r="J27" i="8" s="1"/>
  <c r="I25" i="8"/>
  <c r="I27" i="8" s="1"/>
  <c r="H25" i="8"/>
  <c r="H27" i="8" s="1"/>
  <c r="G25" i="8"/>
  <c r="G27" i="8" s="1"/>
  <c r="F25" i="8"/>
  <c r="F27" i="8" s="1"/>
  <c r="E25" i="8"/>
  <c r="N18" i="8"/>
  <c r="N20" i="8" s="1"/>
  <c r="M18" i="8"/>
  <c r="M20" i="8" s="1"/>
  <c r="L18" i="8"/>
  <c r="K18" i="8"/>
  <c r="K20" i="8" s="1"/>
  <c r="J18" i="8"/>
  <c r="J20" i="8" s="1"/>
  <c r="I18" i="8"/>
  <c r="H18" i="8"/>
  <c r="H20" i="8" s="1"/>
  <c r="G18" i="8"/>
  <c r="F18" i="8"/>
  <c r="E18" i="8"/>
  <c r="E20" i="8" s="1"/>
  <c r="E21" i="8" s="1"/>
  <c r="E40" i="8" s="1"/>
  <c r="U13" i="8"/>
  <c r="U12" i="8"/>
  <c r="U11" i="8"/>
  <c r="V11" i="8" s="1"/>
  <c r="U10" i="8"/>
  <c r="U9" i="8"/>
  <c r="V9" i="8" s="1"/>
  <c r="U8" i="8"/>
  <c r="N11" i="8"/>
  <c r="M11" i="8"/>
  <c r="L11" i="8"/>
  <c r="L13" i="8" s="1"/>
  <c r="K11" i="8"/>
  <c r="J11" i="8"/>
  <c r="I11" i="8"/>
  <c r="H11" i="8"/>
  <c r="H13" i="8" s="1"/>
  <c r="G11" i="8"/>
  <c r="G13" i="8" s="1"/>
  <c r="F11" i="8"/>
  <c r="E11" i="8"/>
  <c r="E13" i="8" s="1"/>
  <c r="U7" i="8"/>
  <c r="V7" i="8" s="1"/>
  <c r="U6" i="8"/>
  <c r="V6" i="8" s="1"/>
  <c r="M23" i="7"/>
  <c r="L23" i="7"/>
  <c r="K23" i="7"/>
  <c r="J23" i="7"/>
  <c r="I23" i="7"/>
  <c r="H23" i="7"/>
  <c r="G23" i="7"/>
  <c r="F23" i="7"/>
  <c r="E23" i="7"/>
  <c r="D23" i="7"/>
  <c r="R13" i="7"/>
  <c r="R12" i="7"/>
  <c r="R11" i="7"/>
  <c r="R10" i="7"/>
  <c r="R9" i="7"/>
  <c r="R8" i="7"/>
  <c r="M11" i="7"/>
  <c r="L11" i="7"/>
  <c r="K11" i="7"/>
  <c r="K13" i="7" s="1"/>
  <c r="K14" i="7" s="1"/>
  <c r="J11" i="7"/>
  <c r="J13" i="7" s="1"/>
  <c r="J14" i="7" s="1"/>
  <c r="I11" i="7"/>
  <c r="I13" i="7" s="1"/>
  <c r="I14" i="7" s="1"/>
  <c r="H11" i="7"/>
  <c r="H13" i="7" s="1"/>
  <c r="H14" i="7" s="1"/>
  <c r="G11" i="7"/>
  <c r="F11" i="7"/>
  <c r="E11" i="7"/>
  <c r="E13" i="7" s="1"/>
  <c r="E14" i="7" s="1"/>
  <c r="D11" i="7"/>
  <c r="D13" i="7" s="1"/>
  <c r="D14" i="7" s="1"/>
  <c r="R7" i="7"/>
  <c r="R6" i="7"/>
  <c r="R6" i="4"/>
  <c r="R7" i="4"/>
  <c r="R8" i="4"/>
  <c r="R9" i="4"/>
  <c r="R10" i="4"/>
  <c r="R11" i="4"/>
  <c r="R12" i="4"/>
  <c r="R13" i="4"/>
  <c r="S13" i="4" s="1"/>
  <c r="E11" i="4"/>
  <c r="E13" i="4" s="1"/>
  <c r="E37" i="4" s="1"/>
  <c r="F11" i="4"/>
  <c r="F13" i="4" s="1"/>
  <c r="F37" i="4" s="1"/>
  <c r="G11" i="4"/>
  <c r="G13" i="4" s="1"/>
  <c r="G37" i="4" s="1"/>
  <c r="H11" i="4"/>
  <c r="I11" i="4"/>
  <c r="J11" i="4"/>
  <c r="K11" i="4"/>
  <c r="L11" i="4"/>
  <c r="L13" i="4" s="1"/>
  <c r="L37" i="4" s="1"/>
  <c r="M11" i="4"/>
  <c r="M13" i="4" s="1"/>
  <c r="M37" i="4" s="1"/>
  <c r="N11" i="4"/>
  <c r="N13" i="4" s="1"/>
  <c r="N37" i="4" s="1"/>
  <c r="E18" i="4"/>
  <c r="E20" i="4" s="1"/>
  <c r="E38" i="4" s="1"/>
  <c r="F18" i="4"/>
  <c r="G18" i="4"/>
  <c r="G20" i="4" s="1"/>
  <c r="G38" i="4" s="1"/>
  <c r="H18" i="4"/>
  <c r="H20" i="4" s="1"/>
  <c r="H38" i="4" s="1"/>
  <c r="H39" i="4" s="1"/>
  <c r="I18" i="4"/>
  <c r="I20" i="4" s="1"/>
  <c r="I38" i="4" s="1"/>
  <c r="J18" i="4"/>
  <c r="K18" i="4"/>
  <c r="L18" i="4"/>
  <c r="M18" i="4"/>
  <c r="N18" i="4"/>
  <c r="N18" i="3"/>
  <c r="M18" i="3"/>
  <c r="L18" i="3"/>
  <c r="K18" i="3"/>
  <c r="J18" i="3"/>
  <c r="J20" i="3" s="1"/>
  <c r="J40" i="3" s="1"/>
  <c r="I18" i="3"/>
  <c r="I20" i="3" s="1"/>
  <c r="I40" i="3" s="1"/>
  <c r="I43" i="3" s="1"/>
  <c r="I45" i="3" s="1"/>
  <c r="H18" i="3"/>
  <c r="H20" i="3" s="1"/>
  <c r="H40" i="3" s="1"/>
  <c r="G18" i="3"/>
  <c r="G20" i="3" s="1"/>
  <c r="G40" i="3" s="1"/>
  <c r="F18" i="3"/>
  <c r="F20" i="3" s="1"/>
  <c r="F40" i="3" s="1"/>
  <c r="E18" i="3"/>
  <c r="E20" i="3" s="1"/>
  <c r="E40" i="3" s="1"/>
  <c r="S13" i="3"/>
  <c r="N12" i="3" s="1"/>
  <c r="S12" i="3"/>
  <c r="S11" i="3"/>
  <c r="S10" i="3"/>
  <c r="S9" i="3"/>
  <c r="S8" i="3"/>
  <c r="N11" i="3"/>
  <c r="N13" i="3" s="1"/>
  <c r="N39" i="3" s="1"/>
  <c r="M11" i="3"/>
  <c r="M13" i="3" s="1"/>
  <c r="M39" i="3" s="1"/>
  <c r="L11" i="3"/>
  <c r="L13" i="3" s="1"/>
  <c r="L39" i="3" s="1"/>
  <c r="K11" i="3"/>
  <c r="K13" i="3" s="1"/>
  <c r="K39" i="3" s="1"/>
  <c r="J11" i="3"/>
  <c r="J13" i="3" s="1"/>
  <c r="J39" i="3" s="1"/>
  <c r="I11" i="3"/>
  <c r="I13" i="3" s="1"/>
  <c r="I39" i="3" s="1"/>
  <c r="H11" i="3"/>
  <c r="H13" i="3" s="1"/>
  <c r="H39" i="3" s="1"/>
  <c r="H43" i="3" s="1"/>
  <c r="H45" i="3" s="1"/>
  <c r="G11" i="3"/>
  <c r="G13" i="3" s="1"/>
  <c r="G39" i="3" s="1"/>
  <c r="F11" i="3"/>
  <c r="F13" i="3" s="1"/>
  <c r="F39" i="3" s="1"/>
  <c r="F43" i="3" s="1"/>
  <c r="F45" i="3" s="1"/>
  <c r="E11" i="3"/>
  <c r="S6" i="3"/>
  <c r="S5" i="3"/>
  <c r="G12" i="7" l="1"/>
  <c r="G13" i="7"/>
  <c r="G14" i="7" s="1"/>
  <c r="M12" i="7"/>
  <c r="M13" i="7"/>
  <c r="M14" i="7" s="1"/>
  <c r="F12" i="7"/>
  <c r="F13" i="7"/>
  <c r="F14" i="7" s="1"/>
  <c r="L12" i="7"/>
  <c r="L13" i="7"/>
  <c r="L14" i="7" s="1"/>
  <c r="I33" i="8"/>
  <c r="I34" i="8" s="1"/>
  <c r="I35" i="8" s="1"/>
  <c r="I43" i="8" s="1"/>
  <c r="F24" i="7"/>
  <c r="F25" i="7"/>
  <c r="F26" i="7" s="1"/>
  <c r="E24" i="7"/>
  <c r="E25" i="7"/>
  <c r="E26" i="7" s="1"/>
  <c r="H25" i="7"/>
  <c r="H26" i="7" s="1"/>
  <c r="I24" i="7"/>
  <c r="I25" i="7"/>
  <c r="I26" i="7" s="1"/>
  <c r="J24" i="7"/>
  <c r="J25" i="7"/>
  <c r="J26" i="7" s="1"/>
  <c r="K25" i="7"/>
  <c r="K26" i="7" s="1"/>
  <c r="D24" i="7"/>
  <c r="D25" i="7"/>
  <c r="D26" i="7" s="1"/>
  <c r="D27" i="7" s="1"/>
  <c r="G25" i="7"/>
  <c r="G26" i="7" s="1"/>
  <c r="L24" i="7"/>
  <c r="L25" i="7"/>
  <c r="L26" i="7" s="1"/>
  <c r="M25" i="7"/>
  <c r="M26" i="7" s="1"/>
  <c r="H12" i="7"/>
  <c r="H15" i="7" s="1"/>
  <c r="I12" i="9"/>
  <c r="I24" i="9"/>
  <c r="I13" i="9"/>
  <c r="I14" i="9" s="1"/>
  <c r="I39" i="9" s="1"/>
  <c r="M20" i="9"/>
  <c r="M21" i="9" s="1"/>
  <c r="M40" i="9" s="1"/>
  <c r="M25" i="9"/>
  <c r="M12" i="8"/>
  <c r="M14" i="8" s="1"/>
  <c r="M39" i="8" s="1"/>
  <c r="M13" i="8"/>
  <c r="I19" i="8"/>
  <c r="I20" i="8"/>
  <c r="J12" i="9"/>
  <c r="J13" i="9"/>
  <c r="J14" i="9" s="1"/>
  <c r="J39" i="9" s="1"/>
  <c r="J24" i="9"/>
  <c r="N20" i="9"/>
  <c r="N21" i="9" s="1"/>
  <c r="N40" i="9" s="1"/>
  <c r="N25" i="9"/>
  <c r="K19" i="10"/>
  <c r="K20" i="10" s="1"/>
  <c r="H47" i="10"/>
  <c r="T27" i="10"/>
  <c r="G19" i="12"/>
  <c r="G20" i="12" s="1"/>
  <c r="G21" i="12" s="1"/>
  <c r="G40" i="12" s="1"/>
  <c r="G46" i="12" s="1"/>
  <c r="J43" i="3"/>
  <c r="J45" i="3" s="1"/>
  <c r="S6" i="4"/>
  <c r="N12" i="8"/>
  <c r="N13" i="8"/>
  <c r="K12" i="9"/>
  <c r="K13" i="9"/>
  <c r="K14" i="9" s="1"/>
  <c r="K39" i="9" s="1"/>
  <c r="K24" i="9"/>
  <c r="D13" i="9"/>
  <c r="D14" i="9" s="1"/>
  <c r="D39" i="9" s="1"/>
  <c r="D41" i="9" s="1"/>
  <c r="D24" i="9"/>
  <c r="F19" i="9"/>
  <c r="E12" i="10"/>
  <c r="G47" i="10"/>
  <c r="T29" i="10"/>
  <c r="I48" i="12"/>
  <c r="L12" i="9"/>
  <c r="L13" i="9"/>
  <c r="L14" i="9" s="1"/>
  <c r="L39" i="9" s="1"/>
  <c r="L24" i="9"/>
  <c r="V13" i="9"/>
  <c r="J19" i="9"/>
  <c r="H12" i="10"/>
  <c r="F47" i="10"/>
  <c r="T30" i="10"/>
  <c r="T32" i="10"/>
  <c r="G39" i="4"/>
  <c r="E12" i="7"/>
  <c r="E15" i="7" s="1"/>
  <c r="L19" i="8"/>
  <c r="L20" i="8"/>
  <c r="V6" i="9"/>
  <c r="M12" i="9"/>
  <c r="M13" i="9"/>
  <c r="M14" i="9" s="1"/>
  <c r="M39" i="9" s="1"/>
  <c r="M24" i="9"/>
  <c r="E25" i="9"/>
  <c r="E20" i="9"/>
  <c r="E21" i="9" s="1"/>
  <c r="E40" i="9" s="1"/>
  <c r="D45" i="10"/>
  <c r="T31" i="10"/>
  <c r="T33" i="10"/>
  <c r="J26" i="12"/>
  <c r="J27" i="12"/>
  <c r="J28" i="12" s="1"/>
  <c r="J41" i="12" s="1"/>
  <c r="J47" i="12" s="1"/>
  <c r="F48" i="12"/>
  <c r="K26" i="12"/>
  <c r="K27" i="12"/>
  <c r="K28" i="12" s="1"/>
  <c r="K41" i="12" s="1"/>
  <c r="N12" i="9"/>
  <c r="N24" i="9"/>
  <c r="N13" i="9"/>
  <c r="N14" i="9" s="1"/>
  <c r="N39" i="9" s="1"/>
  <c r="F12" i="8"/>
  <c r="F13" i="8"/>
  <c r="G25" i="9"/>
  <c r="G20" i="9"/>
  <c r="G21" i="9" s="1"/>
  <c r="G40" i="9" s="1"/>
  <c r="I45" i="10"/>
  <c r="I43" i="10"/>
  <c r="F19" i="10"/>
  <c r="E48" i="10"/>
  <c r="M19" i="12"/>
  <c r="M20" i="12"/>
  <c r="M21" i="12" s="1"/>
  <c r="M40" i="12" s="1"/>
  <c r="M46" i="12" s="1"/>
  <c r="L26" i="12"/>
  <c r="L27" i="12"/>
  <c r="L28" i="12" s="1"/>
  <c r="L41" i="12" s="1"/>
  <c r="E45" i="10"/>
  <c r="T8" i="3"/>
  <c r="G12" i="10"/>
  <c r="G13" i="10"/>
  <c r="H39" i="10" s="1"/>
  <c r="H19" i="10"/>
  <c r="T34" i="10"/>
  <c r="F25" i="9"/>
  <c r="F20" i="9"/>
  <c r="F21" i="9" s="1"/>
  <c r="F40" i="9" s="1"/>
  <c r="V5" i="3"/>
  <c r="D11" i="3" s="1"/>
  <c r="D13" i="3" s="1"/>
  <c r="D39" i="3" s="1"/>
  <c r="D43" i="3" s="1"/>
  <c r="D45" i="3" s="1"/>
  <c r="E26" i="8"/>
  <c r="E27" i="8"/>
  <c r="H25" i="9"/>
  <c r="H20" i="9"/>
  <c r="H21" i="9" s="1"/>
  <c r="H40" i="9" s="1"/>
  <c r="D19" i="10"/>
  <c r="D20" i="10"/>
  <c r="D40" i="10" s="1"/>
  <c r="D46" i="10" s="1"/>
  <c r="I48" i="10"/>
  <c r="L12" i="12"/>
  <c r="L13" i="12"/>
  <c r="L14" i="12" s="1"/>
  <c r="L39" i="12" s="1"/>
  <c r="M26" i="12"/>
  <c r="M27" i="12"/>
  <c r="M28" i="12" s="1"/>
  <c r="M41" i="12" s="1"/>
  <c r="J33" i="12"/>
  <c r="J34" i="12"/>
  <c r="J35" i="12" s="1"/>
  <c r="J42" i="12" s="1"/>
  <c r="J48" i="12" s="1"/>
  <c r="T6" i="3"/>
  <c r="V13" i="8"/>
  <c r="D23" i="8"/>
  <c r="D25" i="8" s="1"/>
  <c r="D27" i="8" s="1"/>
  <c r="D28" i="8" s="1"/>
  <c r="D9" i="8"/>
  <c r="D11" i="8" s="1"/>
  <c r="D13" i="8" s="1"/>
  <c r="D14" i="8" s="1"/>
  <c r="D39" i="8" s="1"/>
  <c r="E12" i="9"/>
  <c r="E24" i="9"/>
  <c r="E13" i="9"/>
  <c r="E14" i="9" s="1"/>
  <c r="E39" i="9" s="1"/>
  <c r="E41" i="9" s="1"/>
  <c r="I25" i="9"/>
  <c r="I20" i="9"/>
  <c r="I21" i="9" s="1"/>
  <c r="I40" i="9" s="1"/>
  <c r="G45" i="10"/>
  <c r="I19" i="10"/>
  <c r="D26" i="10"/>
  <c r="G33" i="10"/>
  <c r="G34" i="10"/>
  <c r="H42" i="10" s="1"/>
  <c r="H48" i="10" s="1"/>
  <c r="T25" i="12"/>
  <c r="K33" i="12"/>
  <c r="K34" i="12"/>
  <c r="K35" i="12" s="1"/>
  <c r="K42" i="12" s="1"/>
  <c r="T5" i="3"/>
  <c r="T10" i="3"/>
  <c r="I12" i="10"/>
  <c r="I13" i="10"/>
  <c r="F39" i="10" s="1"/>
  <c r="G26" i="10"/>
  <c r="H33" i="10"/>
  <c r="H34" i="10"/>
  <c r="G42" i="10" s="1"/>
  <c r="G48" i="10" s="1"/>
  <c r="L33" i="12"/>
  <c r="L34" i="12"/>
  <c r="L35" i="12" s="1"/>
  <c r="L42" i="12" s="1"/>
  <c r="I12" i="8"/>
  <c r="I13" i="8"/>
  <c r="F19" i="8"/>
  <c r="F20" i="8"/>
  <c r="G12" i="9"/>
  <c r="G24" i="9"/>
  <c r="G13" i="9"/>
  <c r="G14" i="9" s="1"/>
  <c r="G39" i="9" s="1"/>
  <c r="K12" i="10"/>
  <c r="K13" i="10" s="1"/>
  <c r="F48" i="10"/>
  <c r="I46" i="12"/>
  <c r="D46" i="12"/>
  <c r="M33" i="12"/>
  <c r="M34" i="12"/>
  <c r="M35" i="12" s="1"/>
  <c r="M42" i="12" s="1"/>
  <c r="M48" i="12" s="1"/>
  <c r="F12" i="9"/>
  <c r="F24" i="9"/>
  <c r="F13" i="9"/>
  <c r="F14" i="9" s="1"/>
  <c r="F39" i="9" s="1"/>
  <c r="J25" i="9"/>
  <c r="J20" i="9"/>
  <c r="J21" i="9" s="1"/>
  <c r="J40" i="9" s="1"/>
  <c r="J12" i="8"/>
  <c r="J14" i="8" s="1"/>
  <c r="J39" i="8" s="1"/>
  <c r="J13" i="8"/>
  <c r="K20" i="9"/>
  <c r="K21" i="9" s="1"/>
  <c r="K40" i="9" s="1"/>
  <c r="K25" i="9"/>
  <c r="G19" i="10"/>
  <c r="G20" i="10"/>
  <c r="H40" i="10" s="1"/>
  <c r="I26" i="10"/>
  <c r="G43" i="3"/>
  <c r="G45" i="3" s="1"/>
  <c r="T12" i="3"/>
  <c r="K12" i="8"/>
  <c r="K13" i="8"/>
  <c r="G19" i="8"/>
  <c r="G20" i="8"/>
  <c r="J33" i="8"/>
  <c r="J34" i="8" s="1"/>
  <c r="J35" i="8" s="1"/>
  <c r="J43" i="8" s="1"/>
  <c r="H12" i="9"/>
  <c r="H24" i="9"/>
  <c r="H13" i="9"/>
  <c r="H14" i="9" s="1"/>
  <c r="H39" i="9" s="1"/>
  <c r="L20" i="9"/>
  <c r="L21" i="9" s="1"/>
  <c r="L40" i="9" s="1"/>
  <c r="L25" i="9"/>
  <c r="E26" i="10"/>
  <c r="E27" i="10"/>
  <c r="E41" i="10" s="1"/>
  <c r="E47" i="10" s="1"/>
  <c r="I47" i="12"/>
  <c r="T30" i="12"/>
  <c r="G24" i="7"/>
  <c r="H24" i="7"/>
  <c r="H27" i="7" s="1"/>
  <c r="D12" i="7"/>
  <c r="D15" i="7" s="1"/>
  <c r="D31" i="7" s="1"/>
  <c r="I12" i="7"/>
  <c r="I15" i="7" s="1"/>
  <c r="M24" i="7"/>
  <c r="J12" i="7"/>
  <c r="J15" i="7" s="1"/>
  <c r="K12" i="7"/>
  <c r="K15" i="7" s="1"/>
  <c r="K19" i="8"/>
  <c r="K21" i="8" s="1"/>
  <c r="K40" i="8" s="1"/>
  <c r="L26" i="8"/>
  <c r="L28" i="8" s="1"/>
  <c r="L42" i="8" s="1"/>
  <c r="E33" i="8"/>
  <c r="E34" i="8" s="1"/>
  <c r="E35" i="8" s="1"/>
  <c r="E43" i="8" s="1"/>
  <c r="M19" i="8"/>
  <c r="M21" i="8" s="1"/>
  <c r="M40" i="8" s="1"/>
  <c r="M41" i="8" s="1"/>
  <c r="N19" i="8"/>
  <c r="N21" i="8" s="1"/>
  <c r="N40" i="8" s="1"/>
  <c r="L12" i="8"/>
  <c r="L14" i="8" s="1"/>
  <c r="L39" i="8" s="1"/>
  <c r="V12" i="8"/>
  <c r="J19" i="8"/>
  <c r="J21" i="8" s="1"/>
  <c r="J40" i="8" s="1"/>
  <c r="J41" i="8" s="1"/>
  <c r="K33" i="8"/>
  <c r="K34" i="8" s="1"/>
  <c r="K35" i="8" s="1"/>
  <c r="K43" i="8" s="1"/>
  <c r="G26" i="8"/>
  <c r="G28" i="8" s="1"/>
  <c r="G42" i="8" s="1"/>
  <c r="H26" i="8"/>
  <c r="H28" i="8" s="1"/>
  <c r="H42" i="8" s="1"/>
  <c r="M33" i="8"/>
  <c r="M34" i="8" s="1"/>
  <c r="M35" i="8" s="1"/>
  <c r="M43" i="8" s="1"/>
  <c r="V8" i="8"/>
  <c r="I26" i="8"/>
  <c r="I28" i="8" s="1"/>
  <c r="I42" i="8" s="1"/>
  <c r="N33" i="8"/>
  <c r="N34" i="8" s="1"/>
  <c r="N35" i="8" s="1"/>
  <c r="N43" i="8" s="1"/>
  <c r="J26" i="8"/>
  <c r="J28" i="8" s="1"/>
  <c r="J42" i="8" s="1"/>
  <c r="E12" i="8"/>
  <c r="E14" i="8" s="1"/>
  <c r="E39" i="8" s="1"/>
  <c r="E41" i="8" s="1"/>
  <c r="G12" i="8"/>
  <c r="G14" i="8" s="1"/>
  <c r="G39" i="8" s="1"/>
  <c r="M26" i="8"/>
  <c r="M28" i="8" s="1"/>
  <c r="M42" i="8" s="1"/>
  <c r="F33" i="8"/>
  <c r="F34" i="8" s="1"/>
  <c r="F35" i="8" s="1"/>
  <c r="F43" i="8" s="1"/>
  <c r="H12" i="8"/>
  <c r="H14" i="8" s="1"/>
  <c r="H39" i="8" s="1"/>
  <c r="V10" i="8"/>
  <c r="G33" i="8"/>
  <c r="G34" i="8" s="1"/>
  <c r="G35" i="8" s="1"/>
  <c r="G43" i="8" s="1"/>
  <c r="H33" i="8"/>
  <c r="H34" i="8" s="1"/>
  <c r="H35" i="8" s="1"/>
  <c r="H43" i="8" s="1"/>
  <c r="N26" i="8"/>
  <c r="N28" i="8" s="1"/>
  <c r="N42" i="8" s="1"/>
  <c r="J12" i="4"/>
  <c r="J13" i="4"/>
  <c r="J37" i="4" s="1"/>
  <c r="J39" i="4" s="1"/>
  <c r="I12" i="4"/>
  <c r="I13" i="4"/>
  <c r="I37" i="4" s="1"/>
  <c r="I39" i="4" s="1"/>
  <c r="J19" i="4"/>
  <c r="J20" i="4"/>
  <c r="J38" i="4" s="1"/>
  <c r="H12" i="4"/>
  <c r="H13" i="4"/>
  <c r="H37" i="4" s="1"/>
  <c r="K19" i="4"/>
  <c r="K20" i="4"/>
  <c r="K38" i="4" s="1"/>
  <c r="L19" i="4"/>
  <c r="L20" i="4"/>
  <c r="L38" i="4" s="1"/>
  <c r="L39" i="4" s="1"/>
  <c r="E39" i="4"/>
  <c r="F19" i="4"/>
  <c r="F20" i="4"/>
  <c r="F38" i="4" s="1"/>
  <c r="F39" i="4" s="1"/>
  <c r="K12" i="4"/>
  <c r="K13" i="4"/>
  <c r="K37" i="4" s="1"/>
  <c r="M19" i="4"/>
  <c r="M20" i="4"/>
  <c r="M38" i="4" s="1"/>
  <c r="M39" i="4" s="1"/>
  <c r="N19" i="4"/>
  <c r="N20" i="4"/>
  <c r="N38" i="4" s="1"/>
  <c r="N39" i="4" s="1"/>
  <c r="G12" i="4"/>
  <c r="H19" i="4"/>
  <c r="F12" i="4"/>
  <c r="G19" i="4"/>
  <c r="E12" i="4"/>
  <c r="E19" i="4"/>
  <c r="E49" i="4" s="1"/>
  <c r="N12" i="4"/>
  <c r="M12" i="4"/>
  <c r="L12" i="4"/>
  <c r="H12" i="3"/>
  <c r="K19" i="3"/>
  <c r="K20" i="3"/>
  <c r="K40" i="3" s="1"/>
  <c r="K43" i="3" s="1"/>
  <c r="K45" i="3" s="1"/>
  <c r="L19" i="3"/>
  <c r="L20" i="3"/>
  <c r="L40" i="3" s="1"/>
  <c r="L43" i="3" s="1"/>
  <c r="L45" i="3" s="1"/>
  <c r="E12" i="3"/>
  <c r="E13" i="3"/>
  <c r="E39" i="3" s="1"/>
  <c r="E43" i="3" s="1"/>
  <c r="E45" i="3" s="1"/>
  <c r="N19" i="3"/>
  <c r="N20" i="3"/>
  <c r="N40" i="3" s="1"/>
  <c r="N43" i="3" s="1"/>
  <c r="N45" i="3" s="1"/>
  <c r="M19" i="3"/>
  <c r="M20" i="3"/>
  <c r="M40" i="3" s="1"/>
  <c r="M43" i="3" s="1"/>
  <c r="M45" i="3" s="1"/>
  <c r="F12" i="3"/>
  <c r="G12" i="3"/>
  <c r="E19" i="3"/>
  <c r="I12" i="3"/>
  <c r="J12" i="3"/>
  <c r="F19" i="3"/>
  <c r="T13" i="3"/>
  <c r="K12" i="3"/>
  <c r="G19" i="3"/>
  <c r="L12" i="3"/>
  <c r="T11" i="3"/>
  <c r="H19" i="3"/>
  <c r="M12" i="3"/>
  <c r="I19" i="3"/>
  <c r="T9" i="3"/>
  <c r="J19" i="3"/>
  <c r="E43" i="12"/>
  <c r="F43" i="12"/>
  <c r="G43" i="12"/>
  <c r="H43" i="12"/>
  <c r="H47" i="12"/>
  <c r="I33" i="10"/>
  <c r="K33" i="10"/>
  <c r="K34" i="10" s="1"/>
  <c r="F26" i="10"/>
  <c r="E19" i="12"/>
  <c r="E20" i="12" s="1"/>
  <c r="E21" i="12" s="1"/>
  <c r="E40" i="12" s="1"/>
  <c r="E46" i="12" s="1"/>
  <c r="T31" i="12"/>
  <c r="J12" i="12"/>
  <c r="J14" i="12" s="1"/>
  <c r="T27" i="12"/>
  <c r="T32" i="12"/>
  <c r="K12" i="12"/>
  <c r="J19" i="12"/>
  <c r="O40" i="12" s="1"/>
  <c r="T26" i="12"/>
  <c r="M12" i="12"/>
  <c r="K19" i="12"/>
  <c r="Q40" i="12" s="1"/>
  <c r="T28" i="12"/>
  <c r="D12" i="12"/>
  <c r="D13" i="12" s="1"/>
  <c r="D14" i="12" s="1"/>
  <c r="D39" i="12" s="1"/>
  <c r="E12" i="12"/>
  <c r="E13" i="12" s="1"/>
  <c r="E14" i="12" s="1"/>
  <c r="E39" i="12" s="1"/>
  <c r="T29" i="12"/>
  <c r="O42" i="12"/>
  <c r="Q42" i="12"/>
  <c r="L43" i="12"/>
  <c r="P42" i="12"/>
  <c r="P41" i="12"/>
  <c r="H26" i="10"/>
  <c r="E33" i="10"/>
  <c r="F33" i="10"/>
  <c r="D12" i="10"/>
  <c r="F12" i="10"/>
  <c r="D33" i="10"/>
  <c r="E19" i="9"/>
  <c r="G19" i="9"/>
  <c r="H19" i="9"/>
  <c r="I19" i="9"/>
  <c r="K19" i="9"/>
  <c r="L19" i="9"/>
  <c r="M19" i="9"/>
  <c r="N19" i="9"/>
  <c r="E19" i="8"/>
  <c r="K26" i="8"/>
  <c r="K28" i="8" s="1"/>
  <c r="K42" i="8" s="1"/>
  <c r="L33" i="8"/>
  <c r="L34" i="8" s="1"/>
  <c r="L35" i="8" s="1"/>
  <c r="L43" i="8" s="1"/>
  <c r="H19" i="8"/>
  <c r="H21" i="8" s="1"/>
  <c r="H40" i="8" s="1"/>
  <c r="K24" i="7"/>
  <c r="S12" i="4"/>
  <c r="S11" i="4"/>
  <c r="S10" i="4"/>
  <c r="S9" i="4"/>
  <c r="S8" i="4"/>
  <c r="S7" i="4"/>
  <c r="I19" i="4"/>
  <c r="F15" i="7" l="1"/>
  <c r="L15" i="7"/>
  <c r="M15" i="7"/>
  <c r="G27" i="7"/>
  <c r="G15" i="7"/>
  <c r="E28" i="8"/>
  <c r="E42" i="8" s="1"/>
  <c r="G21" i="8"/>
  <c r="G40" i="8" s="1"/>
  <c r="G41" i="8" s="1"/>
  <c r="I21" i="8"/>
  <c r="I40" i="8" s="1"/>
  <c r="H41" i="8"/>
  <c r="J27" i="7"/>
  <c r="L31" i="7" s="1"/>
  <c r="L33" i="7" s="1"/>
  <c r="I27" i="7"/>
  <c r="I31" i="7"/>
  <c r="I33" i="7" s="1"/>
  <c r="L27" i="7"/>
  <c r="E27" i="7"/>
  <c r="E31" i="7" s="1"/>
  <c r="E33" i="7" s="1"/>
  <c r="K27" i="7"/>
  <c r="M31" i="7" s="1"/>
  <c r="M33" i="7" s="1"/>
  <c r="M27" i="7"/>
  <c r="J31" i="7" s="1"/>
  <c r="J33" i="7" s="1"/>
  <c r="F27" i="7"/>
  <c r="F31" i="7" s="1"/>
  <c r="F33" i="7" s="1"/>
  <c r="H31" i="7"/>
  <c r="H33" i="7" s="1"/>
  <c r="K14" i="8"/>
  <c r="K39" i="8" s="1"/>
  <c r="G41" i="9"/>
  <c r="E43" i="10"/>
  <c r="Q41" i="12"/>
  <c r="O41" i="12"/>
  <c r="G47" i="12"/>
  <c r="G46" i="10"/>
  <c r="F21" i="8"/>
  <c r="F40" i="8" s="1"/>
  <c r="F41" i="8" s="1"/>
  <c r="F43" i="10"/>
  <c r="F45" i="10"/>
  <c r="L47" i="12"/>
  <c r="F14" i="8"/>
  <c r="F39" i="8" s="1"/>
  <c r="L21" i="8"/>
  <c r="L40" i="8" s="1"/>
  <c r="L41" i="8" s="1"/>
  <c r="F41" i="9"/>
  <c r="I46" i="10"/>
  <c r="E46" i="10"/>
  <c r="M41" i="9"/>
  <c r="M46" i="9" s="1"/>
  <c r="F47" i="12"/>
  <c r="E47" i="12"/>
  <c r="K41" i="8"/>
  <c r="H46" i="10"/>
  <c r="I14" i="8"/>
  <c r="I39" i="8" s="1"/>
  <c r="G43" i="10"/>
  <c r="M47" i="12"/>
  <c r="N41" i="9"/>
  <c r="D43" i="10"/>
  <c r="L41" i="9"/>
  <c r="L46" i="9" s="1"/>
  <c r="M44" i="8"/>
  <c r="G48" i="12"/>
  <c r="E48" i="12"/>
  <c r="H41" i="9"/>
  <c r="H46" i="9" s="1"/>
  <c r="L48" i="12"/>
  <c r="K48" i="12"/>
  <c r="K47" i="12"/>
  <c r="F46" i="10"/>
  <c r="K41" i="9"/>
  <c r="K46" i="9" s="1"/>
  <c r="I41" i="9"/>
  <c r="I46" i="9" s="1"/>
  <c r="D43" i="12"/>
  <c r="I45" i="12"/>
  <c r="D47" i="12"/>
  <c r="H43" i="10"/>
  <c r="H45" i="10"/>
  <c r="D48" i="12"/>
  <c r="N14" i="8"/>
  <c r="N39" i="8" s="1"/>
  <c r="N41" i="8" s="1"/>
  <c r="J41" i="9"/>
  <c r="J46" i="9" s="1"/>
  <c r="H48" i="12"/>
  <c r="L45" i="4"/>
  <c r="F45" i="4"/>
  <c r="F43" i="4"/>
  <c r="N46" i="4"/>
  <c r="H45" i="4"/>
  <c r="D45" i="4"/>
  <c r="D46" i="4"/>
  <c r="K46" i="4"/>
  <c r="H46" i="4"/>
  <c r="M46" i="4"/>
  <c r="J46" i="4"/>
  <c r="G46" i="4"/>
  <c r="L46" i="4"/>
  <c r="N43" i="4"/>
  <c r="N45" i="4"/>
  <c r="M45" i="4"/>
  <c r="I45" i="4"/>
  <c r="E43" i="4"/>
  <c r="E45" i="4"/>
  <c r="J45" i="4"/>
  <c r="G45" i="4"/>
  <c r="F44" i="8"/>
  <c r="E44" i="8"/>
  <c r="H44" i="8"/>
  <c r="J44" i="8"/>
  <c r="N44" i="8"/>
  <c r="I44" i="8"/>
  <c r="G44" i="8"/>
  <c r="K39" i="4"/>
  <c r="K45" i="4" s="1"/>
  <c r="J39" i="12"/>
  <c r="K43" i="12"/>
  <c r="M43" i="12"/>
  <c r="P40" i="12"/>
  <c r="L44" i="8"/>
  <c r="K44" i="8"/>
  <c r="G31" i="7" l="1"/>
  <c r="G33" i="7" s="1"/>
  <c r="K31" i="7"/>
  <c r="K33" i="7" s="1"/>
  <c r="D33" i="7"/>
  <c r="I41" i="8"/>
  <c r="J45" i="12"/>
  <c r="J49" i="12" s="1"/>
  <c r="G45" i="12"/>
  <c r="K45" i="12"/>
  <c r="K49" i="12" s="1"/>
  <c r="M45" i="12"/>
  <c r="M49" i="12" s="1"/>
  <c r="H45" i="12"/>
  <c r="H49" i="12" s="1"/>
  <c r="F45" i="12"/>
  <c r="E45" i="12"/>
  <c r="E49" i="12"/>
  <c r="F49" i="12"/>
  <c r="N46" i="9"/>
  <c r="G46" i="9"/>
  <c r="G49" i="12"/>
  <c r="L45" i="12"/>
  <c r="L49" i="12" s="1"/>
  <c r="D45" i="12"/>
  <c r="D49" i="12" s="1"/>
  <c r="D46" i="9"/>
  <c r="E46" i="9"/>
  <c r="F46" i="9"/>
  <c r="J43" i="12"/>
  <c r="E48" i="4"/>
  <c r="N48" i="4"/>
  <c r="F48" i="4"/>
  <c r="D48" i="4"/>
  <c r="K48" i="4"/>
  <c r="L48" i="4"/>
  <c r="M48" i="4"/>
  <c r="J48" i="4"/>
  <c r="G48" i="4"/>
  <c r="H48" i="4"/>
  <c r="O39" i="12"/>
  <c r="P39" i="12"/>
  <c r="Q39" i="12"/>
  <c r="I40" i="4"/>
  <c r="I42" i="4" s="1"/>
  <c r="I46" i="4" s="1"/>
  <c r="I43" i="4" l="1"/>
  <c r="I48" i="4" s="1"/>
</calcChain>
</file>

<file path=xl/sharedStrings.xml><?xml version="1.0" encoding="utf-8"?>
<sst xmlns="http://schemas.openxmlformats.org/spreadsheetml/2006/main" count="2472" uniqueCount="685">
  <si>
    <t>NIL</t>
  </si>
  <si>
    <t>0.5-</t>
  </si>
  <si>
    <t>Application: Eppendorf PlateReader AF2200</t>
  </si>
  <si>
    <t>1.1.0.24</t>
  </si>
  <si>
    <t>Device: PlateReader AF2200</t>
  </si>
  <si>
    <t>Serial number: 1306005281</t>
  </si>
  <si>
    <t>Firmware: V_1.14_3/14_Eppendorf (Mar 11 2014/11.12.47)</t>
  </si>
  <si>
    <t>MAI, V_1.14_3/14_Eppendorf (Mar 11 2014/11.12.47)</t>
  </si>
  <si>
    <t>AD38</t>
  </si>
  <si>
    <t>HepG2</t>
  </si>
  <si>
    <t>System</t>
  </si>
  <si>
    <t>50095-D119460</t>
  </si>
  <si>
    <t>Average</t>
  </si>
  <si>
    <t>OVER</t>
  </si>
  <si>
    <t>User</t>
  </si>
  <si>
    <t>UNIMELB\wzhao9</t>
  </si>
  <si>
    <t>Average-Background</t>
  </si>
  <si>
    <t>Plate</t>
  </si>
  <si>
    <t>Conc</t>
  </si>
  <si>
    <t>#2-1</t>
  </si>
  <si>
    <t>#2-2</t>
  </si>
  <si>
    <t>Mode</t>
  </si>
  <si>
    <t>Absorbance</t>
  </si>
  <si>
    <t>Measurement Wavelength</t>
  </si>
  <si>
    <t>nm</t>
  </si>
  <si>
    <t>Bandwidth</t>
  </si>
  <si>
    <t>Reference Wavelength</t>
  </si>
  <si>
    <t>#3-1</t>
  </si>
  <si>
    <t>Number of Flashes</t>
  </si>
  <si>
    <t>#3-2</t>
  </si>
  <si>
    <t>Settle Time</t>
  </si>
  <si>
    <t>ms</t>
  </si>
  <si>
    <t>Start Time:</t>
  </si>
  <si>
    <t>Standard</t>
  </si>
  <si>
    <t>Temperature: 20 °C</t>
  </si>
  <si>
    <t>Dual wavelength measurement with measurement filter</t>
  </si>
  <si>
    <t>#4-1</t>
  </si>
  <si>
    <t>&lt;&gt;</t>
  </si>
  <si>
    <t>#4-2</t>
  </si>
  <si>
    <t>A</t>
  </si>
  <si>
    <t>B</t>
  </si>
  <si>
    <t>C</t>
  </si>
  <si>
    <t>D</t>
  </si>
  <si>
    <t>E</t>
  </si>
  <si>
    <t>F</t>
  </si>
  <si>
    <t>G</t>
  </si>
  <si>
    <t>H</t>
  </si>
  <si>
    <t>Dual wavelength measurement with reference filter</t>
  </si>
  <si>
    <t>nil</t>
  </si>
  <si>
    <t>INFg+Pam</t>
  </si>
  <si>
    <t>Calculated difference between measurement and reference measurement</t>
  </si>
  <si>
    <t>End Time:</t>
  </si>
  <si>
    <t>Date:</t>
  </si>
  <si>
    <t>Time:</t>
  </si>
  <si>
    <t>5/12/2017 HepG2</t>
  </si>
  <si>
    <t>IFN</t>
  </si>
  <si>
    <t>0.06+</t>
  </si>
  <si>
    <t>0.12+</t>
  </si>
  <si>
    <t>0.25+</t>
  </si>
  <si>
    <t>0.5+</t>
  </si>
  <si>
    <t>RAL</t>
  </si>
  <si>
    <t>EFV</t>
  </si>
  <si>
    <t>T20</t>
  </si>
  <si>
    <t>zero (nil)</t>
  </si>
  <si>
    <t>coefficient</t>
  </si>
  <si>
    <t>r</t>
  </si>
  <si>
    <t>1-#1</t>
  </si>
  <si>
    <t>1-#2</t>
  </si>
  <si>
    <t>2-#1</t>
  </si>
  <si>
    <t>2-#2</t>
  </si>
  <si>
    <t>#1 *1.1</t>
  </si>
  <si>
    <t>#2 *1.1</t>
  </si>
  <si>
    <t>average*1.1</t>
  </si>
  <si>
    <t>19/12/2017 HepG2</t>
  </si>
  <si>
    <t>minus mock</t>
  </si>
  <si>
    <t>MOCK</t>
  </si>
  <si>
    <t>fold change</t>
  </si>
  <si>
    <t>mormalization</t>
  </si>
  <si>
    <t>#1-1</t>
  </si>
  <si>
    <t>#1-2</t>
  </si>
  <si>
    <t>Average-background</t>
  </si>
  <si>
    <t>Conc*dilution  factor</t>
  </si>
  <si>
    <t>Conc*dilution  factor*1.1</t>
  </si>
  <si>
    <t>Average of duplicates</t>
  </si>
  <si>
    <t>#1</t>
  </si>
  <si>
    <t>#2</t>
  </si>
  <si>
    <t>LabArchive ID: WZ20180224</t>
  </si>
  <si>
    <t>4/3/18 sample</t>
  </si>
  <si>
    <t>Conc.</t>
  </si>
  <si>
    <t>Conc.x dilution factor</t>
  </si>
  <si>
    <t>Conc.x NP40 dilution factor(1.1)</t>
  </si>
  <si>
    <t>Average of Duplication</t>
  </si>
  <si>
    <t>LabArchive ID: WZ20180227</t>
  </si>
  <si>
    <t>6/3/18 sample</t>
  </si>
  <si>
    <t>Sample:</t>
  </si>
  <si>
    <t>Cells/FSC Singlets/SSC singlets/live | Freq. of Parent</t>
  </si>
  <si>
    <t>Cells/FSC Singlets/SSC singlets/live/Q3: VSV-HIV eGFP+ , LD APCCy7- | Freq. of Parent</t>
  </si>
  <si>
    <t>% eGFP live</t>
  </si>
  <si>
    <t>% live</t>
  </si>
  <si>
    <t>180304 AD38_0 MOCK_018.fcs</t>
  </si>
  <si>
    <t>180304 AD38_1 IFN alone_019.fcs</t>
  </si>
  <si>
    <t>IFNPC3SK4</t>
  </si>
  <si>
    <t>180304 AD38_2 VSV-HIV 0_5 alone_020.fcs</t>
  </si>
  <si>
    <t>VSV-HIV 0_5 alone</t>
  </si>
  <si>
    <t>180304 AD38_3 IFNg VSV-HIV 0_5 EFV_027.fcs</t>
  </si>
  <si>
    <t>VSV-HIV EFV</t>
  </si>
  <si>
    <t>180304 AD38_3 IFNg VSV-HIV 0_5 RAL_026.fcs</t>
  </si>
  <si>
    <t>VSV-HIV RAL</t>
  </si>
  <si>
    <t>180304 AD38_3 IFNg VSV-HIV 0_5 T20_025.fcs</t>
  </si>
  <si>
    <t>VSV-HIV T20</t>
  </si>
  <si>
    <t>180304 AD38_3 IFNg VSV-HIV 0_5_024.fcs</t>
  </si>
  <si>
    <t>VSV-HIV 0_5</t>
  </si>
  <si>
    <t>180304 AD38_3 IFNg VSV-HIV 0_06_021.fcs</t>
  </si>
  <si>
    <t>VSV-HIV 0_0625</t>
  </si>
  <si>
    <t>180304 AD38_3 IFNg VSV-HIV 0_25_023.fcs</t>
  </si>
  <si>
    <t>VSV-HIV 0_25</t>
  </si>
  <si>
    <t>180304 AD38_3 IFNg VSV-HIV 0_125_022.fcs</t>
  </si>
  <si>
    <t>VSV-HIV 0_125</t>
  </si>
  <si>
    <t>180306 AD38_0 NIL_001.fcs</t>
  </si>
  <si>
    <t>180306 AD38_1 IFN alone_002.fcs</t>
  </si>
  <si>
    <t>180306 AD38_2 VSV-HIV 0_5 alone_003.fcs</t>
  </si>
  <si>
    <t>180306 AD38_3 IFNg VSV-HIV 0_5 EFV_010.fcs</t>
  </si>
  <si>
    <t>180306 AD38_3 IFNg VSV-HIV 0_5 RAL_009.fcs</t>
  </si>
  <si>
    <t>180306 AD38_3 IFNg VSV-HIV 0_5 T20_008.fcs</t>
  </si>
  <si>
    <t>180306 AD38_3 IFNg VSV-HIV 0_5_007.fcs</t>
  </si>
  <si>
    <t xml:space="preserve">VSV-HIV 0_5 </t>
  </si>
  <si>
    <t>180306 AD38_3 IFNg VSV-HIV 0_06_004.fcs</t>
  </si>
  <si>
    <t>180306 AD38_3 IFNg VSV-HIV 0_25_006.fcs</t>
  </si>
  <si>
    <t>180306 AD38_3 IFNg VSV-HIV 0_125_005.fcs</t>
  </si>
  <si>
    <t>Mean</t>
  </si>
  <si>
    <t>SD</t>
  </si>
  <si>
    <t>LabArchive ID: WZ20180501</t>
  </si>
  <si>
    <t>20/4/18 sample</t>
  </si>
  <si>
    <t>IFNg</t>
  </si>
  <si>
    <t>0.06+IFNg</t>
  </si>
  <si>
    <t>0.12+IFNg</t>
  </si>
  <si>
    <t>0.25+IFNg</t>
  </si>
  <si>
    <t>0.5+IFNg</t>
  </si>
  <si>
    <t>0.5 + IFNg + RAL</t>
  </si>
  <si>
    <t>0.5 + IFNg + EFV</t>
  </si>
  <si>
    <t>0.5 + IFNg + T20</t>
  </si>
  <si>
    <t>0.5 w/o IFNg</t>
  </si>
  <si>
    <t>HBcAg</t>
  </si>
  <si>
    <t>HBsAg</t>
  </si>
  <si>
    <t>ssRNA</t>
  </si>
  <si>
    <t>gp120</t>
  </si>
  <si>
    <t>#3</t>
  </si>
  <si>
    <t>#4</t>
  </si>
  <si>
    <t>P-value</t>
  </si>
  <si>
    <t>Conc x 100</t>
  </si>
  <si>
    <t>Conc x 5</t>
  </si>
  <si>
    <t>Therefore overall</t>
  </si>
  <si>
    <t>4 separate samples, 2x replicate s from each for ELISA</t>
  </si>
  <si>
    <t>IFN+PC3SK4</t>
  </si>
  <si>
    <t>Standard Curve</t>
  </si>
  <si>
    <t>rearranged and -*1.1 for NP40 (removal from PC3 prior to ELISA)</t>
  </si>
  <si>
    <t>RESULTS -</t>
  </si>
  <si>
    <t>AD38 cells require dilution (higher CXCL10 concentration resulted in saturated ELISA)</t>
  </si>
  <si>
    <t>IFNg/P3CSK4 result in increase CXCL10 in both HepG2 and AD38</t>
  </si>
  <si>
    <t>No further increase seen with addition of HBs, HBc, HIV ssRNA, gp120</t>
  </si>
  <si>
    <t>Cell type</t>
  </si>
  <si>
    <t>Background minimal and at times &gt;mock, therefore values used as is, given transformation to fold change</t>
  </si>
  <si>
    <t>Bolded = raw data</t>
  </si>
  <si>
    <t>intercept</t>
  </si>
  <si>
    <t>DILUTION</t>
  </si>
  <si>
    <t>Nil (except 1.1 for NP40 - see below)</t>
  </si>
  <si>
    <t>SUMMARY</t>
  </si>
  <si>
    <t>FOLD change (cf 'mock')</t>
  </si>
  <si>
    <t>2017 10 02</t>
  </si>
  <si>
    <t>Stimulation -</t>
  </si>
  <si>
    <t xml:space="preserve">CXCL10 ELISA date </t>
  </si>
  <si>
    <t>2017 10 13 (1)</t>
  </si>
  <si>
    <t>Fold change</t>
  </si>
  <si>
    <t xml:space="preserve"> 17 10 18</t>
  </si>
  <si>
    <t>17 10 02</t>
  </si>
  <si>
    <t>YES - x100 , x5</t>
  </si>
  <si>
    <t>x30 may be optimal dilution for AD38</t>
  </si>
  <si>
    <t>same experminet samples, just rediluted</t>
  </si>
  <si>
    <t>DILUTION for elisa</t>
  </si>
  <si>
    <t>IFN/ PC3SK4</t>
  </si>
  <si>
    <t>-</t>
  </si>
  <si>
    <t>mock</t>
  </si>
  <si>
    <t>19/12/17 HepG2 dil</t>
  </si>
  <si>
    <t>19/12/17 Hep G2 dil</t>
  </si>
  <si>
    <t>average of replicates</t>
  </si>
  <si>
    <t>OVERALL AVERAGE</t>
  </si>
  <si>
    <t>cf IFN alone</t>
  </si>
  <si>
    <t>OVERALL</t>
  </si>
  <si>
    <t>Mock</t>
  </si>
  <si>
    <t>ELISA date</t>
  </si>
  <si>
    <t>Nil</t>
  </si>
  <si>
    <t>Eppendorf 96 Flat Bottom Clear Polystyrene VIS [Eppendorf Microplate VIS_96_F_PS.pdfx]</t>
  </si>
  <si>
    <t>Measurement: Measurement1</t>
  </si>
  <si>
    <t>Plate setup</t>
  </si>
  <si>
    <t>Standards</t>
  </si>
  <si>
    <t>G2 nil 1a</t>
  </si>
  <si>
    <t>G2 INFg+Pam 1a</t>
  </si>
  <si>
    <t>G2 INFg+Pam HBcAg 1a</t>
  </si>
  <si>
    <t>G2 INFg+Pam HBsAg 1a</t>
  </si>
  <si>
    <t>G2 INFg+Pam ssRNA 1a</t>
  </si>
  <si>
    <t>G2 INFg+Pam gp120 1a</t>
  </si>
  <si>
    <t>AD38 nil 1a</t>
  </si>
  <si>
    <t>AD38 INFg+Pam 1a</t>
  </si>
  <si>
    <t>AD38 INFg+Pam ssRNA 1a</t>
  </si>
  <si>
    <t>AD38 INFg+Pam gp120 1a</t>
  </si>
  <si>
    <t>G2 nil 1b</t>
  </si>
  <si>
    <t>G2 INFg+Pam 1b</t>
  </si>
  <si>
    <t>G2 INFg+Pam HBcAg 1b</t>
  </si>
  <si>
    <t>G2 INFg+Pam HBsAg 1b</t>
  </si>
  <si>
    <t>G2 INFg+Pam ssRNA 1b</t>
  </si>
  <si>
    <t>G2 INFg+Pam gp120 1b</t>
  </si>
  <si>
    <t>AD38 nil 1b</t>
  </si>
  <si>
    <t>AD38 INFg+Pam 1b</t>
  </si>
  <si>
    <t>AD38 INFg+Pam ssRNA 1b</t>
  </si>
  <si>
    <t>AD38 INFg+Pam gp120 1b</t>
  </si>
  <si>
    <t>G2 nil 2a</t>
  </si>
  <si>
    <t>G2 INFg+Pam 2a</t>
  </si>
  <si>
    <t>G2 INFg+Pam HBcAg 2a</t>
  </si>
  <si>
    <t>G2 INFg+Pam HBsAg 2a</t>
  </si>
  <si>
    <t>G2 INFg+Pam ssRNA 2a</t>
  </si>
  <si>
    <t>G2 INFg+Pam gp220 2a</t>
  </si>
  <si>
    <t>AD38 nil 2a</t>
  </si>
  <si>
    <t>AD38 INFg+Pam 2a</t>
  </si>
  <si>
    <t>AD38 INFg+Pam ssRNA 2a</t>
  </si>
  <si>
    <t>AD38 INFg+Pam gp220 2a</t>
  </si>
  <si>
    <t>G2 nil 2b</t>
  </si>
  <si>
    <t>G2 INFg+Pam 2b</t>
  </si>
  <si>
    <t>G2 INFg+Pam HBcAg 2b</t>
  </si>
  <si>
    <t>G2 INFg+Pam HBsAg 2b</t>
  </si>
  <si>
    <t>G2 INFg+Pam ssRNA 2b</t>
  </si>
  <si>
    <t>G2 INFg+Pam gp220 2b</t>
  </si>
  <si>
    <t>AD38 nil 2b</t>
  </si>
  <si>
    <t>AD38 INFg+Pam 2b</t>
  </si>
  <si>
    <t>AD38 INFg+Pam ssRNA 2b</t>
  </si>
  <si>
    <t>AD38 INFg+Pam gp220 2b</t>
  </si>
  <si>
    <t>G2 nil 3a</t>
  </si>
  <si>
    <t>G2 INFg+Pam 3a</t>
  </si>
  <si>
    <t>G2 INFg+Pam HBcAg 3a</t>
  </si>
  <si>
    <t>G2 INFg+Pam HBsAg 3a</t>
  </si>
  <si>
    <t>G2 INFg+Pam ssRNA 3a</t>
  </si>
  <si>
    <t>G2 INFg+Pam gp320 3a</t>
  </si>
  <si>
    <t>AD38 nil 3a</t>
  </si>
  <si>
    <t>AD38 INFg+Pam 3a</t>
  </si>
  <si>
    <t>AD38 INFg+Pam ssRNA 3a</t>
  </si>
  <si>
    <t>AD38 INFg+Pam gp320 3a</t>
  </si>
  <si>
    <t>G2 nil 3b</t>
  </si>
  <si>
    <t>G2 INFg+Pam 3b</t>
  </si>
  <si>
    <t>G2 INFg+Pam HBcAg 3b</t>
  </si>
  <si>
    <t>G2 INFg+Pam HBsAg 3b</t>
  </si>
  <si>
    <t>G2 INFg+Pam ssRNA 3b</t>
  </si>
  <si>
    <t>G2 INFg+Pam gp320 3b</t>
  </si>
  <si>
    <t>AD38 nil 3b</t>
  </si>
  <si>
    <t>AD38 INFg+Pam 3b</t>
  </si>
  <si>
    <t>AD38 INFg+Pam ssRNA 3b</t>
  </si>
  <si>
    <t>AD38 INFg+Pam gp320 3b</t>
  </si>
  <si>
    <t>G2 nil 4a</t>
  </si>
  <si>
    <t>G2 INFg+Pam 4a</t>
  </si>
  <si>
    <t>G2 INFg+Pam HBcAg 4a</t>
  </si>
  <si>
    <t>G2 INFg+Pam HBsAg 4a</t>
  </si>
  <si>
    <t>G2 INFg+Pam ssRNA 4a</t>
  </si>
  <si>
    <t>G2 INFg+Pam gp420 4a</t>
  </si>
  <si>
    <t>AD38 nil 4a</t>
  </si>
  <si>
    <t>AD38 INFg+Pam 4a</t>
  </si>
  <si>
    <t>AD38 INFg+Pam ssRNA 4a</t>
  </si>
  <si>
    <t>AD38 INFg+Pam gp420 4a</t>
  </si>
  <si>
    <t>G2 nil 4b</t>
  </si>
  <si>
    <t>G2 INFg+Pam 4b</t>
  </si>
  <si>
    <t>G2 INFg+Pam HBcAg 4b</t>
  </si>
  <si>
    <t>G2 INFg+Pam HBsAg 4b</t>
  </si>
  <si>
    <t>G2 INFg+Pam ssRNA 4b</t>
  </si>
  <si>
    <t>G2 INFg+Pam gp420 4b</t>
  </si>
  <si>
    <t>AD38 nil 4b</t>
  </si>
  <si>
    <t>AD38 INFg+Pam 4b</t>
  </si>
  <si>
    <t>AD38 INFg+Pam ssRNA 4b</t>
  </si>
  <si>
    <t>AD38 INFg+Pam gp420 4b</t>
  </si>
  <si>
    <t>2018 01 04</t>
  </si>
  <si>
    <t>Shaking (Linear) Duration:</t>
  </si>
  <si>
    <t>s</t>
  </si>
  <si>
    <t>Shaking (Linear) Amplitude:</t>
  </si>
  <si>
    <t>mm</t>
  </si>
  <si>
    <t>Temperature: 22.7 °C</t>
  </si>
  <si>
    <t>Nunclon 96 Flat Bottom Clear Polystyrol [NUN96ft.pdfx]</t>
  </si>
  <si>
    <t>Temperature: 22.6 °C</t>
  </si>
  <si>
    <t>Temperature: 23.6 °C</t>
  </si>
  <si>
    <t>Temperature: 21.9 °C</t>
  </si>
  <si>
    <t>UNIMELB\dantanarayan</t>
  </si>
  <si>
    <t>Temperature: 24.1 °C</t>
  </si>
  <si>
    <t>INFg+Pam 1a</t>
  </si>
  <si>
    <t>INFg+Pam VSV-HIV 0.0625 1a</t>
  </si>
  <si>
    <t>INFg+Pam VSV-HIV 0.125 1a</t>
  </si>
  <si>
    <t>INFg+Pam VSV-HIV 0.250 1a</t>
  </si>
  <si>
    <t>INFg+Pam VSV-HIV 0.5 1a</t>
  </si>
  <si>
    <t>nil 1a</t>
  </si>
  <si>
    <t>INFg+Pam ssRNA 1a</t>
  </si>
  <si>
    <t>INFg+Pam gp120 1a</t>
  </si>
  <si>
    <t>INFg+Pam 1b</t>
  </si>
  <si>
    <t>INFg+Pam VSV-HIV 0.0625 1b</t>
  </si>
  <si>
    <t>INFg+Pam VSV-HIV 0.125 1b</t>
  </si>
  <si>
    <t>INFg+Pam VSV-HIV 0.250 1b</t>
  </si>
  <si>
    <t>INFg+Pam VSV-HIV 0.5 1b</t>
  </si>
  <si>
    <t>nil 1b</t>
  </si>
  <si>
    <t>INFg+Pam ssRNA 1b</t>
  </si>
  <si>
    <t>INFg+Pam gp120 1b</t>
  </si>
  <si>
    <t>INFg+Pam 2a</t>
  </si>
  <si>
    <t>INFg+Pam VSV-HIV 0.0625 2a</t>
  </si>
  <si>
    <t>INFg+Pam VSV-HIV 0.225 2a</t>
  </si>
  <si>
    <t>INFg+Pam VSV-HIV 0.250 2a</t>
  </si>
  <si>
    <t>INFg+Pam VSV-HIV 0.5 2a</t>
  </si>
  <si>
    <t>nil 2a</t>
  </si>
  <si>
    <t>INFg+Pam ssRNA 2a</t>
  </si>
  <si>
    <t>INFg+Pam gp220 2a</t>
  </si>
  <si>
    <t>INFg+Pam 2b</t>
  </si>
  <si>
    <t>INFg+Pam VSV-HIV 0.0625 2b</t>
  </si>
  <si>
    <t>INFg+Pam VSV-HIV 0.225 2b</t>
  </si>
  <si>
    <t>INFg+Pam VSV-HIV 0.250 2b</t>
  </si>
  <si>
    <t>INFg+Pam VSV-HIV 0.5 2b</t>
  </si>
  <si>
    <t>nil 2b</t>
  </si>
  <si>
    <t>INFg+Pam ssRNA 2b</t>
  </si>
  <si>
    <t>INFg+Pam gp220 2b</t>
  </si>
  <si>
    <t>INFg+Pam 3a</t>
  </si>
  <si>
    <t>INFg+Pam VSV-HIV 0.0625 3a</t>
  </si>
  <si>
    <t>INFg+Pam VSV-HIV 0.325 3a</t>
  </si>
  <si>
    <t>INFg+Pam VSV-HIV 0.250 3a</t>
  </si>
  <si>
    <t>INFg+Pam VSV-HIV 0.5 3a</t>
  </si>
  <si>
    <t>nil 3a</t>
  </si>
  <si>
    <t>INFg+Pam ssRNA 3a</t>
  </si>
  <si>
    <t>INFg+Pam gp320 3a</t>
  </si>
  <si>
    <t>INFg+Pam 3b</t>
  </si>
  <si>
    <t>INFg+Pam VSV-HIV 0.0625 3b</t>
  </si>
  <si>
    <t>INFg+Pam VSV-HIV 0.325 3b</t>
  </si>
  <si>
    <t>INFg+Pam VSV-HIV 0.250 3b</t>
  </si>
  <si>
    <t>INFg+Pam VSV-HIV 0.5 3b</t>
  </si>
  <si>
    <t>nil 3b</t>
  </si>
  <si>
    <t>INFg+Pam ssRNA 3b</t>
  </si>
  <si>
    <t>INFg+Pam gp320 3b</t>
  </si>
  <si>
    <t>INFg+Pam 4a</t>
  </si>
  <si>
    <t>INFg+Pam VSV-HIV 0.0625 4a</t>
  </si>
  <si>
    <t>INFg+Pam VSV-HIV 0.425 4a</t>
  </si>
  <si>
    <t>INFg+Pam VSV-HIV 0.250 4a</t>
  </si>
  <si>
    <t>INFg+Pam VSV-HIV 0.5 4a</t>
  </si>
  <si>
    <t>nil 4a</t>
  </si>
  <si>
    <t>INFg+Pam ssRNA 4a</t>
  </si>
  <si>
    <t>INFg+Pam gp420 4a</t>
  </si>
  <si>
    <t>INFg+Pam 4b</t>
  </si>
  <si>
    <t>INFg+Pam VSV-HIV 0.0625 4b</t>
  </si>
  <si>
    <t>INFg+Pam VSV-HIV 0.425 4b</t>
  </si>
  <si>
    <t>INFg+Pam VSV-HIV 0.250 4b</t>
  </si>
  <si>
    <t>INFg+Pam VSV-HIV 0.5 4b</t>
  </si>
  <si>
    <t>nil 4b</t>
  </si>
  <si>
    <t>INFg+Pam ssRNA 4b</t>
  </si>
  <si>
    <t>INFg+Pam gp420 4b</t>
  </si>
  <si>
    <t>mock 1a</t>
  </si>
  <si>
    <t>IFN/ PC3SK4 1a</t>
  </si>
  <si>
    <t>IFN/ PC3SK4 VSV HIV 0.0625 1a</t>
  </si>
  <si>
    <t>IFN/ PC3SK4 VSV HIV 0.125 1a</t>
  </si>
  <si>
    <t>IFN/ PC3SK4 VSV HIV 0.250 1a</t>
  </si>
  <si>
    <t>IFN/ PC3SK4 VSV HIV 0.5 1a</t>
  </si>
  <si>
    <t>IFN/ PC3SK4 VSV HIV 0.5 w T20 1a</t>
  </si>
  <si>
    <t>IFN/ PC3SK4 VSV-HIV RAL 1a</t>
  </si>
  <si>
    <t>IFN/ PC3SK4 VSV-HIV EFV 1a</t>
  </si>
  <si>
    <t>mock 1b</t>
  </si>
  <si>
    <t>IFN/ PC3SK4 1b</t>
  </si>
  <si>
    <t>IFN/ PC3SK4 VSV HIV 0.0625 1b</t>
  </si>
  <si>
    <t>IFN/ PC3SK4 VSV HIV 0.125 1b</t>
  </si>
  <si>
    <t>IFN/ PC3SK4 VSV HIV 0.250 1b</t>
  </si>
  <si>
    <t>IFN/ PC3SK4 VSV HIV 0.5 1b</t>
  </si>
  <si>
    <t>IFN/ PC3SK4 VSV HIV 0.5 w T20 1b</t>
  </si>
  <si>
    <t>IFN/ PC3SK4 VSV-HIV RAL 1b</t>
  </si>
  <si>
    <t>IFN/ PC3SK4 VSV-HIV EFV 1b</t>
  </si>
  <si>
    <t>mock 2a</t>
  </si>
  <si>
    <t>IFN/ PC3SK4 2a</t>
  </si>
  <si>
    <t>IFN/ PC3SK4 VSV HIV 0.0625 2a</t>
  </si>
  <si>
    <t>IFN/ PC3SK4 VSV HIV 0.225 2a</t>
  </si>
  <si>
    <t>IFN/ PC3SK4 VSV HIV 0.250 2a</t>
  </si>
  <si>
    <t>IFN/ PC3SK4 VSV HIV 0.5 2a</t>
  </si>
  <si>
    <t>IFN/ PC3SK4 VSV HIV 0.5 w T20 2a</t>
  </si>
  <si>
    <t>IFN/ PC3SK4 VSV-HIV RAL 2a</t>
  </si>
  <si>
    <t>IFN/ PC3SK4 VSV-HIV EFV 2a</t>
  </si>
  <si>
    <t>mock 2b</t>
  </si>
  <si>
    <t>IFN/ PC3SK4 2b</t>
  </si>
  <si>
    <t>IFN/ PC3SK4 VSV HIV 0.0625 2b</t>
  </si>
  <si>
    <t>IFN/ PC3SK4 VSV HIV 0.225 2b</t>
  </si>
  <si>
    <t>IFN/ PC3SK4 VSV HIV 0.250 2b</t>
  </si>
  <si>
    <t>IFN/ PC3SK4 VSV HIV 0.5 2b</t>
  </si>
  <si>
    <t>IFN/ PC3SK4 VSV HIV 0.5 w T20 2b</t>
  </si>
  <si>
    <t>IFN/ PC3SK4 VSV-HIV RAL 2b</t>
  </si>
  <si>
    <t>IFN/ PC3SK4 VSV-HIV EFV 2b</t>
  </si>
  <si>
    <t>18 07 11</t>
  </si>
  <si>
    <t>Conc*dilution  factor*1.1 (NP40)</t>
  </si>
  <si>
    <t>Stimulation</t>
  </si>
  <si>
    <t>Fold  change cf IFN-g /Pc3SK4</t>
  </si>
  <si>
    <t>IFN/PC3SK4</t>
  </si>
  <si>
    <t>Temperature: 20.2 °C</t>
  </si>
  <si>
    <t>VSV HIV 0.5 alone 1a</t>
  </si>
  <si>
    <t>VSV HIV 0.5 alone 1b</t>
  </si>
  <si>
    <t>VSV HIV 0.5 alone 2a</t>
  </si>
  <si>
    <t>VSV HIV 0.5 alone 2b</t>
  </si>
  <si>
    <t>standards</t>
  </si>
  <si>
    <t>VSV-HIV 0.5 w/o IFNg 1a</t>
  </si>
  <si>
    <t>VSV-HIV 0.5 w/o IFNg 1b</t>
  </si>
  <si>
    <t>VSV-HIV 0.5 w/o IFNg 2a</t>
  </si>
  <si>
    <t>VSV-HIV 0.5 w/o IFNg 2b</t>
  </si>
  <si>
    <t>4/3/2018 experiment</t>
  </si>
  <si>
    <t>6/3/2018 experiment</t>
  </si>
  <si>
    <t>zero</t>
  </si>
  <si>
    <t>2/10/2017 (ELISA 181017)</t>
  </si>
  <si>
    <t>ELISA 4/1/2018</t>
  </si>
  <si>
    <t>ELISA 8 Mar 2018</t>
  </si>
  <si>
    <t>ELIDA 13 Oct 2017</t>
  </si>
  <si>
    <t>ELISA - 12 Jan 2018</t>
  </si>
  <si>
    <t>20/4/2018 (ELISA 1 May 2020)</t>
  </si>
  <si>
    <t>Hep G2 mock 1a</t>
  </si>
  <si>
    <t>Hep G2  IFN/ PC3SK4 1a</t>
  </si>
  <si>
    <t>Hep G2  IFN/ PC3SK4 VSV HIV 0.0625 1a</t>
  </si>
  <si>
    <t>Hep G2  IFN/ PC3SK4 VSV HIV 0.125 1a</t>
  </si>
  <si>
    <t>Hep G2  IFN/ PC3SK4 VSV HIV 0.250 1a</t>
  </si>
  <si>
    <t>Hep G2  IFN/ PC3SK4 VSV HIV 0.5 1a</t>
  </si>
  <si>
    <t>Hep G2  IFN/ PC3SK4 VSV-HIV RAL 1a</t>
  </si>
  <si>
    <t>Hep G2 IFN/ PC3SK4 VSV-HIV EFV 1a</t>
  </si>
  <si>
    <t>Hep G2  IFN/ PC3SK4 VSV HIV 0.5 w T20 1a</t>
  </si>
  <si>
    <t>Hep G2  VSV HIV 0.5 alone 1a</t>
  </si>
  <si>
    <t>Hep G2 mock 1b</t>
  </si>
  <si>
    <t>Hep G2 IFN/ PC3SK4 1b</t>
  </si>
  <si>
    <t>Hep G2 IFN/ PC3SK4 VSV HIV 0.0625 1b</t>
  </si>
  <si>
    <t>Hep G2 Hep G2  IFN/ PC3SK4 VSV HIV 0.125 1b</t>
  </si>
  <si>
    <t>Hep G2 IFN/ PC3SK4 VSV HIV 0.250 1b</t>
  </si>
  <si>
    <t>Hep G2 IFN/ PC3SK4 VSV HIV 0.5 1b</t>
  </si>
  <si>
    <t>Hep G2 IFN/ PC3SK4 VSV-HIV RAL 1b</t>
  </si>
  <si>
    <t>Hep G2 IFN/ PC3SK4 VSV-HIV EFV 1b</t>
  </si>
  <si>
    <t>Hep G2 IFN/ PC3SK4 VSV HIV 0.5 w T20 1b</t>
  </si>
  <si>
    <t>Hep G2 VSV HIV 0.5 alone 1b</t>
  </si>
  <si>
    <t>Hep G2 mock 2a</t>
  </si>
  <si>
    <t>Hep G2 IFN/ PC3SK4 2a</t>
  </si>
  <si>
    <t>Hep G2 IFN/ PC3SK4 VSV HIV 0.0625 2a</t>
  </si>
  <si>
    <t>Hep G2 IFN/ PC3SK4 VSV HIV 0.225 2a</t>
  </si>
  <si>
    <t>Hep G2 IFN/ PC3SK4 VSV HIV 0.250 2a</t>
  </si>
  <si>
    <t>Hep G2 IFN/ PC3SK4 VSV HIV 0.5 2a</t>
  </si>
  <si>
    <t>Hep G2 IFN/ PC3SK4 VSV-HIV RAL 2a</t>
  </si>
  <si>
    <t>Hep G2 IFN/ PC3SK4 VSV-HIV EFV 2a</t>
  </si>
  <si>
    <t>Hep G2 IFN/ PC3SK4 VSV HIV 0.5 w T20 2a</t>
  </si>
  <si>
    <t>Hep G2 VSV HIV 0.5 alone 2a</t>
  </si>
  <si>
    <t>Hep G2 mock 2b</t>
  </si>
  <si>
    <t>Hep G2 IFN/ PC3SK4 2b</t>
  </si>
  <si>
    <t>Hep G2 IFN/ PC3SK4 VSV HIV 0.0625 2b</t>
  </si>
  <si>
    <t>Hep G2 IFN/ PC3SK4 VSV HIV 0.225 2b</t>
  </si>
  <si>
    <t>Hep G2 IFN/ PC3SK4 VSV HIV 0.250 2b</t>
  </si>
  <si>
    <t>Hep G2 IFN/ PC3SK4 VSV HIV 0.5 2b</t>
  </si>
  <si>
    <t>Hep G2 IFN/ PC3SK4 VSV-HIV RAL 2b</t>
  </si>
  <si>
    <t>Hep G2 IFN/ PC3SK4 VSV-HIV EFV 2b</t>
  </si>
  <si>
    <t>Hep G2 IFN/ PC3SK4 VSV HIV 0.5 w T20 2b</t>
  </si>
  <si>
    <t>Hep G2 VSV HIV 0.5 alone 2b</t>
  </si>
  <si>
    <t>Dilution factors</t>
  </si>
  <si>
    <t>IFNg+0.125</t>
  </si>
  <si>
    <t>IFNg+0.25</t>
  </si>
  <si>
    <t>IFNg+0.5</t>
  </si>
  <si>
    <t>IFNg+1</t>
  </si>
  <si>
    <t>IFNg+1+EFV</t>
  </si>
  <si>
    <t>Standard curve data</t>
  </si>
  <si>
    <t>y=</t>
  </si>
  <si>
    <t>x</t>
  </si>
  <si>
    <t>R2</t>
  </si>
  <si>
    <t>*NP40 conc</t>
  </si>
  <si>
    <t>HepG2-3</t>
  </si>
  <si>
    <t>AD38-3</t>
  </si>
  <si>
    <t>AD38-2</t>
  </si>
  <si>
    <t>HepG2-2</t>
  </si>
  <si>
    <t>2020 03 18</t>
  </si>
  <si>
    <t>2020 03 31</t>
  </si>
  <si>
    <t>Summary</t>
  </si>
  <si>
    <t>1.1 (NP40 for removal from PC3 prior to ELISA)</t>
  </si>
  <si>
    <t>FOLD change (cf IFN alone)</t>
  </si>
  <si>
    <t>Pattern</t>
  </si>
  <si>
    <t>A1-D9</t>
  </si>
  <si>
    <t>Temperature: 20.8 °C</t>
  </si>
  <si>
    <t>Standard Curve data</t>
  </si>
  <si>
    <t>Plate layout</t>
  </si>
  <si>
    <t>G2 Mock 1</t>
  </si>
  <si>
    <t>G2 IFNg 1</t>
  </si>
  <si>
    <t>G2 IFNg+0.125 1</t>
  </si>
  <si>
    <t>G2 IFNg+0.25 1</t>
  </si>
  <si>
    <t>G2 IFNg+0.5 1</t>
  </si>
  <si>
    <t>G2 IFNg+1 1</t>
  </si>
  <si>
    <t>G2 IFNg+1+EFV 1</t>
  </si>
  <si>
    <t>G2 Mock 2</t>
  </si>
  <si>
    <t>G2 IFNg 2</t>
  </si>
  <si>
    <t>G2 IFNg+0.125 2</t>
  </si>
  <si>
    <t>G2 IFNg+0.25 2</t>
  </si>
  <si>
    <t>G2 IFNg+0.5 2</t>
  </si>
  <si>
    <t>G2 IFNg+1 2</t>
  </si>
  <si>
    <t>G2 IFNg+1+EFV 2</t>
  </si>
  <si>
    <t>AD38 Mock 1</t>
  </si>
  <si>
    <t>AD38 IFNg 1</t>
  </si>
  <si>
    <t>AD38 IFNg+0.125 1</t>
  </si>
  <si>
    <t>AD38 IFNg+0.25 1</t>
  </si>
  <si>
    <t>AD38 IFNg+0.5 1</t>
  </si>
  <si>
    <t>AD38 IFNg+1 1</t>
  </si>
  <si>
    <t>AD38 IFNg+1+EFV 1</t>
  </si>
  <si>
    <t>AD38 Mock 2</t>
  </si>
  <si>
    <t>AD38 IFNg 2</t>
  </si>
  <si>
    <t>AD38 IFNg+0.125 2</t>
  </si>
  <si>
    <t>AD38 IFNg+0.25 2</t>
  </si>
  <si>
    <t>AD38 IFNg+0.5 2</t>
  </si>
  <si>
    <t>AD38 IFNg+1 2</t>
  </si>
  <si>
    <t>AD38 IFNg+1+EFV 2</t>
  </si>
  <si>
    <t>2020 04 06</t>
  </si>
  <si>
    <t>Conc (with dilution)</t>
  </si>
  <si>
    <t>2020 04 17</t>
  </si>
  <si>
    <t>2020 04 09</t>
  </si>
  <si>
    <t>G2 Mock 1a</t>
  </si>
  <si>
    <t>G2 IFNg 1a</t>
  </si>
  <si>
    <t>G2 IFNg+0.125 1a</t>
  </si>
  <si>
    <t>G2 IFNg+0.25 1a</t>
  </si>
  <si>
    <t>G2 IFNg+0.5 1a</t>
  </si>
  <si>
    <t>G2 IFNg+1 1a</t>
  </si>
  <si>
    <t>G2 IFNg+1+EFV 1a</t>
  </si>
  <si>
    <t>G2 Mock 1b</t>
  </si>
  <si>
    <t>G2 IFNg 1b</t>
  </si>
  <si>
    <t>G2 IFNg+0.125 1b</t>
  </si>
  <si>
    <t>G2 IFNg+0.25 1b</t>
  </si>
  <si>
    <t>G2 IFNg+0.5 1b</t>
  </si>
  <si>
    <t>G2 IFNg+1 1b</t>
  </si>
  <si>
    <t>G2 IFNg+1+EFV 1b</t>
  </si>
  <si>
    <t>G2a Mock 2a</t>
  </si>
  <si>
    <t>G2a IFNg 2a</t>
  </si>
  <si>
    <t>G2a IFNg+0.12a5 2a</t>
  </si>
  <si>
    <t>G2a IFNg+0.2a5 2a</t>
  </si>
  <si>
    <t>G2a IFNg+0.5 2a</t>
  </si>
  <si>
    <t>G2a IFNg+1 2a</t>
  </si>
  <si>
    <t>G2a IFNg+1+EFV 2a</t>
  </si>
  <si>
    <t>G2b Mock 2b</t>
  </si>
  <si>
    <t>G2b IFNg 2b</t>
  </si>
  <si>
    <t>G2b IFNg+0.12b5 2b</t>
  </si>
  <si>
    <t>G2b IFNg+0.2b5 2b</t>
  </si>
  <si>
    <t>G2b IFNg+0.5 2b</t>
  </si>
  <si>
    <t>G2b IFNg+1 2b</t>
  </si>
  <si>
    <t>G2b IFNg+1+EFV 2b</t>
  </si>
  <si>
    <t>AD38 Mock 2b</t>
  </si>
  <si>
    <t>AD38 IFNg 2b</t>
  </si>
  <si>
    <t>AD38 IFNg+0.12b5 2b</t>
  </si>
  <si>
    <t>AD38 IFNg+0.2b5 2b</t>
  </si>
  <si>
    <t>AD38 IFNg+0.5 2b</t>
  </si>
  <si>
    <t>AD38 IFNg+1 2b</t>
  </si>
  <si>
    <t>AD38 IFNg+1+EFV 2b</t>
  </si>
  <si>
    <t>AD38 Mock 1b</t>
  </si>
  <si>
    <t>AD38 IFNg 1b</t>
  </si>
  <si>
    <t>AD38 IFNg+0.1b25 1b</t>
  </si>
  <si>
    <t>AD38 IFNg+0.25 1b</t>
  </si>
  <si>
    <t>AD38 IFNg+0.5 1b</t>
  </si>
  <si>
    <t>AD38 IFNg+1b 1b</t>
  </si>
  <si>
    <t>AD38 IFNg+1b+EFV 1b</t>
  </si>
  <si>
    <t>G2 expt 180409</t>
  </si>
  <si>
    <t>G2 expt 18 04 06</t>
  </si>
  <si>
    <t>Ad38 expt 18 04 06</t>
  </si>
  <si>
    <t>Ad38 expt 180409</t>
  </si>
  <si>
    <t>---</t>
  </si>
  <si>
    <t>Not in Use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</si>
  <si>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</si>
  <si>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</si>
  <si>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</si>
  <si>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</si>
  <si>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</si>
  <si>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</si>
  <si>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</si>
  <si>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</si>
  <si>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</si>
  <si>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</si>
  <si>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</si>
  <si>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</si>
  <si>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</si>
  <si>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</si>
  <si>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</si>
  <si>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</si>
  <si>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</si>
  <si>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</si>
  <si>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</si>
  <si>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</si>
  <si>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</si>
  <si>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</si>
  <si>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</si>
  <si>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</si>
  <si>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</si>
  <si>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</si>
  <si>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</si>
  <si>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</si>
  <si>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</si>
  <si>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</si>
  <si>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</si>
  <si>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</si>
  <si>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</si>
  <si>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</si>
  <si>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</si>
  <si>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</si>
  <si>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</si>
  <si>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</si>
  <si>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</si>
  <si>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</si>
  <si>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</si>
  <si>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</si>
  <si>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</si>
  <si>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</si>
  <si>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</si>
  <si>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</si>
  <si>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</si>
  <si>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</si>
  <si>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</si>
  <si>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</si>
  <si>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</si>
  <si>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</si>
  <si>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</si>
  <si>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</si>
  <si>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C12</t>
  </si>
  <si>
    <t>C11</t>
  </si>
  <si>
    <t>C10</t>
  </si>
  <si>
    <t>C9</t>
  </si>
  <si>
    <t>C8</t>
  </si>
  <si>
    <t>C7</t>
  </si>
  <si>
    <t>B12</t>
  </si>
  <si>
    <t>Log (cell number)</t>
  </si>
  <si>
    <t>B11</t>
  </si>
  <si>
    <t>B10</t>
  </si>
  <si>
    <t>Ct Value</t>
  </si>
  <si>
    <t>B9</t>
  </si>
  <si>
    <t>B8</t>
  </si>
  <si>
    <t>B7</t>
  </si>
  <si>
    <t>A12</t>
  </si>
  <si>
    <t>A11</t>
  </si>
  <si>
    <t>A10</t>
  </si>
  <si>
    <t>A9</t>
  </si>
  <si>
    <t>A8</t>
  </si>
  <si>
    <t>A7</t>
  </si>
  <si>
    <t>Unknown</t>
  </si>
  <si>
    <t>D6</t>
  </si>
  <si>
    <t>C6</t>
  </si>
  <si>
    <t>D5</t>
  </si>
  <si>
    <t>C5</t>
  </si>
  <si>
    <t>Luc-1+EFV</t>
  </si>
  <si>
    <t>Luc-1</t>
  </si>
  <si>
    <t>Luc-0.5</t>
  </si>
  <si>
    <t>Luc-0.25</t>
  </si>
  <si>
    <t>Luc-0.125</t>
  </si>
  <si>
    <t>D4</t>
  </si>
  <si>
    <t>C4</t>
  </si>
  <si>
    <t>D3</t>
  </si>
  <si>
    <t>C3</t>
  </si>
  <si>
    <t>D2</t>
  </si>
  <si>
    <t>C2</t>
  </si>
  <si>
    <t>D1</t>
  </si>
  <si>
    <t>C1</t>
  </si>
  <si>
    <t>B6</t>
  </si>
  <si>
    <t>A6</t>
  </si>
  <si>
    <t>B5</t>
  </si>
  <si>
    <t>A5</t>
  </si>
  <si>
    <t>B4</t>
  </si>
  <si>
    <t>A4</t>
  </si>
  <si>
    <t>B3</t>
  </si>
  <si>
    <t>A3</t>
  </si>
  <si>
    <t>B2</t>
  </si>
  <si>
    <t>A2</t>
  </si>
  <si>
    <t>B1</t>
  </si>
  <si>
    <t>A1</t>
  </si>
  <si>
    <t>Slope (dR)</t>
  </si>
  <si>
    <t>RSq (dR)</t>
  </si>
  <si>
    <t>Quantity (copies)</t>
  </si>
  <si>
    <t>Ct (dR)</t>
  </si>
  <si>
    <t>Threshold (dR)</t>
  </si>
  <si>
    <t>Replicate</t>
  </si>
  <si>
    <t>Well Type</t>
  </si>
  <si>
    <t>Well</t>
  </si>
  <si>
    <t>No RT</t>
  </si>
  <si>
    <t>No Ct</t>
  </si>
  <si>
    <t>NTC</t>
  </si>
  <si>
    <t>N</t>
  </si>
  <si>
    <t>Y</t>
  </si>
  <si>
    <t>3Ct shift</t>
  </si>
  <si>
    <t>LTR-alone</t>
  </si>
  <si>
    <t>copy number / 10^6 cells</t>
  </si>
  <si>
    <t>cell number (CCR5 copy number)</t>
  </si>
  <si>
    <t>Copy number x dilution factor</t>
  </si>
  <si>
    <t>NA</t>
  </si>
  <si>
    <t>Copy number (anti-log)</t>
  </si>
  <si>
    <t>Copy</t>
  </si>
  <si>
    <t>Stimulation done 31 Mar 2020</t>
  </si>
  <si>
    <t>Experiment done 1 Apr 2020</t>
  </si>
  <si>
    <t>Experiment done 16 Apr 2020</t>
  </si>
  <si>
    <t>Stimulation done 06 and 09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</si>
</sst>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Helvetica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rgb="FF444444"/>
      <name val="Calibri"/>
      <family val="2"/>
      <scheme val="minor"/>
    </font>
    <font>
      <sz val="15"/>
      <color rgb="FF444444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2" borderId="0"/>
  </cellStyleXfs>
  <cellXfs count="193">
    <xf numFmtId="0" fontId="0" fillId="0" borderId="0" xfId="0"/>
    <xf numFmtId="0" fontId="3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3" fillId="0" borderId="0" xfId="1" applyFont="1"/>
    <xf numFmtId="0" fontId="2" fillId="0" borderId="0" xfId="1" applyAlignment="1">
      <alignment horizontal="left"/>
    </xf>
    <xf numFmtId="0" fontId="2" fillId="0" borderId="0" xfId="1" applyAlignment="1">
      <alignment wrapText="1"/>
    </xf>
    <xf numFmtId="0" fontId="2" fillId="0" borderId="0" xfId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3" fillId="0" borderId="0" xfId="1" applyFont="1" applyAlignment="1">
      <alignment vertical="top"/>
    </xf>
    <xf numFmtId="0" fontId="2" fillId="0" borderId="0" xfId="1" applyAlignment="1">
      <alignment vertical="top" wrapText="1"/>
    </xf>
    <xf numFmtId="0" fontId="2" fillId="0" borderId="0" xfId="1" applyAlignment="1">
      <alignment vertical="top"/>
    </xf>
    <xf numFmtId="0" fontId="4" fillId="2" borderId="0" xfId="2"/>
    <xf numFmtId="0" fontId="6" fillId="0" borderId="0" xfId="1" applyFont="1" applyAlignment="1">
      <alignment horizontal="left"/>
    </xf>
    <xf numFmtId="14" fontId="3" fillId="0" borderId="0" xfId="1" applyNumberFormat="1" applyFont="1"/>
    <xf numFmtId="16" fontId="3" fillId="0" borderId="0" xfId="1" applyNumberFormat="1" applyFont="1"/>
    <xf numFmtId="0" fontId="3" fillId="3" borderId="0" xfId="1" applyFont="1" applyFill="1"/>
    <xf numFmtId="0" fontId="2" fillId="4" borderId="0" xfId="1" applyFill="1"/>
    <xf numFmtId="0" fontId="3" fillId="5" borderId="0" xfId="1" applyFont="1" applyFill="1"/>
    <xf numFmtId="0" fontId="2" fillId="6" borderId="0" xfId="1" applyFill="1"/>
    <xf numFmtId="0" fontId="3" fillId="6" borderId="0" xfId="1" applyFont="1" applyFill="1"/>
    <xf numFmtId="0" fontId="3" fillId="7" borderId="0" xfId="1" applyFont="1" applyFill="1"/>
    <xf numFmtId="0" fontId="2" fillId="0" borderId="5" xfId="1" applyBorder="1"/>
    <xf numFmtId="0" fontId="3" fillId="0" borderId="4" xfId="1" applyFont="1" applyBorder="1"/>
    <xf numFmtId="0" fontId="2" fillId="0" borderId="6" xfId="1" applyBorder="1"/>
    <xf numFmtId="0" fontId="3" fillId="8" borderId="0" xfId="1" applyFont="1" applyFill="1"/>
    <xf numFmtId="0" fontId="2" fillId="8" borderId="0" xfId="1" applyFill="1"/>
    <xf numFmtId="0" fontId="3" fillId="0" borderId="0" xfId="1" applyFont="1" applyAlignment="1">
      <alignment horizontal="right"/>
    </xf>
    <xf numFmtId="0" fontId="2" fillId="0" borderId="12" xfId="1" applyBorder="1"/>
    <xf numFmtId="0" fontId="2" fillId="0" borderId="13" xfId="1" applyBorder="1"/>
    <xf numFmtId="0" fontId="2" fillId="0" borderId="14" xfId="1" applyBorder="1"/>
    <xf numFmtId="0" fontId="2" fillId="0" borderId="15" xfId="1" applyBorder="1"/>
    <xf numFmtId="0" fontId="2" fillId="0" borderId="16" xfId="1" applyBorder="1"/>
    <xf numFmtId="0" fontId="2" fillId="0" borderId="17" xfId="1" applyBorder="1"/>
    <xf numFmtId="0" fontId="2" fillId="0" borderId="18" xfId="1" applyBorder="1"/>
    <xf numFmtId="0" fontId="2" fillId="0" borderId="19" xfId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7" fillId="0" borderId="0" xfId="1" applyFont="1" applyAlignment="1">
      <alignment horizontal="right"/>
    </xf>
    <xf numFmtId="0" fontId="5" fillId="0" borderId="0" xfId="1" applyFont="1"/>
    <xf numFmtId="0" fontId="5" fillId="0" borderId="18" xfId="1" applyFont="1" applyBorder="1"/>
    <xf numFmtId="0" fontId="5" fillId="0" borderId="19" xfId="1" applyFont="1" applyBorder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3" fillId="0" borderId="1" xfId="1" applyFont="1" applyBorder="1"/>
    <xf numFmtId="0" fontId="3" fillId="3" borderId="4" xfId="1" applyFont="1" applyFill="1" applyBorder="1"/>
    <xf numFmtId="0" fontId="3" fillId="3" borderId="6" xfId="1" applyFont="1" applyFill="1" applyBorder="1"/>
    <xf numFmtId="11" fontId="2" fillId="0" borderId="0" xfId="1" applyNumberFormat="1"/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5" xfId="1" applyFont="1" applyBorder="1"/>
    <xf numFmtId="0" fontId="3" fillId="0" borderId="0" xfId="1" applyFont="1" applyAlignment="1">
      <alignment horizontal="center"/>
    </xf>
    <xf numFmtId="0" fontId="7" fillId="0" borderId="0" xfId="1" applyFont="1"/>
    <xf numFmtId="0" fontId="6" fillId="0" borderId="0" xfId="1" applyFont="1"/>
    <xf numFmtId="0" fontId="2" fillId="4" borderId="0" xfId="1" applyFill="1" applyAlignment="1">
      <alignment horizontal="left" vertical="top"/>
    </xf>
    <xf numFmtId="0" fontId="2" fillId="5" borderId="0" xfId="1" applyFill="1"/>
    <xf numFmtId="0" fontId="2" fillId="0" borderId="0" xfId="1" applyFill="1"/>
    <xf numFmtId="0" fontId="2" fillId="0" borderId="0" xfId="1" applyFill="1" applyAlignment="1">
      <alignment horizontal="left" vertical="top"/>
    </xf>
    <xf numFmtId="0" fontId="3" fillId="0" borderId="0" xfId="1" applyFont="1" applyFill="1"/>
    <xf numFmtId="0" fontId="2" fillId="0" borderId="0" xfId="1" applyFont="1" applyFill="1"/>
    <xf numFmtId="0" fontId="2" fillId="0" borderId="0" xfId="1" applyFont="1"/>
    <xf numFmtId="0" fontId="2" fillId="0" borderId="1" xfId="1" applyFont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0" xfId="1" applyFill="1" applyBorder="1"/>
    <xf numFmtId="0" fontId="2" fillId="0" borderId="5" xfId="1" applyFill="1" applyBorder="1"/>
    <xf numFmtId="0" fontId="2" fillId="0" borderId="7" xfId="1" applyFill="1" applyBorder="1"/>
    <xf numFmtId="0" fontId="2" fillId="0" borderId="8" xfId="1" applyFill="1" applyBorder="1"/>
    <xf numFmtId="164" fontId="3" fillId="0" borderId="0" xfId="1" applyNumberFormat="1" applyFont="1"/>
    <xf numFmtId="0" fontId="2" fillId="7" borderId="0" xfId="1" applyFill="1"/>
    <xf numFmtId="0" fontId="2" fillId="9" borderId="0" xfId="1" applyFill="1"/>
    <xf numFmtId="0" fontId="3" fillId="9" borderId="0" xfId="1" applyFont="1" applyFill="1"/>
    <xf numFmtId="0" fontId="3" fillId="0" borderId="0" xfId="1" applyFont="1" applyAlignment="1">
      <alignment wrapText="1"/>
    </xf>
    <xf numFmtId="0" fontId="3" fillId="0" borderId="0" xfId="1" applyFont="1" applyAlignment="1">
      <alignment vertical="top" wrapText="1"/>
    </xf>
    <xf numFmtId="0" fontId="3" fillId="0" borderId="2" xfId="1" applyFont="1" applyBorder="1" applyAlignment="1">
      <alignment horizontal="left" vertical="top"/>
    </xf>
    <xf numFmtId="0" fontId="2" fillId="6" borderId="0" xfId="1" applyFill="1" applyAlignment="1">
      <alignment horizontal="left" vertical="top"/>
    </xf>
    <xf numFmtId="0" fontId="2" fillId="4" borderId="7" xfId="1" applyFill="1" applyBorder="1" applyAlignment="1">
      <alignment horizontal="left" vertical="top"/>
    </xf>
    <xf numFmtId="0" fontId="3" fillId="0" borderId="1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0" fontId="3" fillId="3" borderId="4" xfId="1" applyFont="1" applyFill="1" applyBorder="1" applyAlignment="1">
      <alignment vertical="top"/>
    </xf>
    <xf numFmtId="0" fontId="3" fillId="3" borderId="6" xfId="1" applyFont="1" applyFill="1" applyBorder="1" applyAlignment="1">
      <alignment vertical="top"/>
    </xf>
    <xf numFmtId="0" fontId="3" fillId="0" borderId="4" xfId="1" applyFont="1" applyBorder="1" applyAlignment="1">
      <alignment horizontal="left" vertical="top"/>
    </xf>
    <xf numFmtId="0" fontId="2" fillId="0" borderId="2" xfId="1" applyFill="1" applyBorder="1" applyAlignment="1">
      <alignment horizontal="left" vertical="top"/>
    </xf>
    <xf numFmtId="0" fontId="2" fillId="0" borderId="3" xfId="1" applyFill="1" applyBorder="1"/>
    <xf numFmtId="0" fontId="2" fillId="0" borderId="7" xfId="1" applyFill="1" applyBorder="1" applyAlignment="1">
      <alignment horizontal="left" vertical="top"/>
    </xf>
    <xf numFmtId="0" fontId="3" fillId="0" borderId="0" xfId="1" applyFont="1" applyBorder="1"/>
    <xf numFmtId="0" fontId="2" fillId="0" borderId="4" xfId="1" applyFont="1" applyBorder="1"/>
    <xf numFmtId="0" fontId="3" fillId="0" borderId="7" xfId="1" applyFont="1" applyFill="1" applyBorder="1"/>
    <xf numFmtId="0" fontId="3" fillId="10" borderId="0" xfId="1" applyFont="1" applyFill="1" applyBorder="1"/>
    <xf numFmtId="0" fontId="3" fillId="10" borderId="0" xfId="1" applyFont="1" applyFill="1"/>
    <xf numFmtId="0" fontId="3" fillId="10" borderId="5" xfId="1" applyFont="1" applyFill="1" applyBorder="1"/>
    <xf numFmtId="14" fontId="0" fillId="0" borderId="0" xfId="0" applyNumberFormat="1"/>
    <xf numFmtId="19" fontId="0" fillId="0" borderId="0" xfId="0" applyNumberFormat="1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9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9" fontId="0" fillId="0" borderId="0" xfId="0" applyNumberFormat="1" applyAlignment="1">
      <alignment horizontal="left" vertical="top"/>
    </xf>
    <xf numFmtId="22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1" applyFont="1" applyAlignment="1">
      <alignment vertical="top" wrapText="1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left"/>
    </xf>
    <xf numFmtId="0" fontId="8" fillId="0" borderId="18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19" xfId="1" applyFont="1" applyBorder="1" applyAlignment="1">
      <alignment horizontal="left"/>
    </xf>
    <xf numFmtId="0" fontId="8" fillId="0" borderId="18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19" xfId="1" applyFont="1" applyBorder="1" applyAlignment="1">
      <alignment horizontal="center"/>
    </xf>
    <xf numFmtId="0" fontId="2" fillId="0" borderId="0" xfId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0" xfId="1" applyFont="1" applyAlignment="1">
      <alignment horizontal="right"/>
    </xf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5" fillId="0" borderId="15" xfId="1" applyFont="1" applyBorder="1"/>
    <xf numFmtId="0" fontId="5" fillId="0" borderId="16" xfId="1" applyFont="1" applyBorder="1"/>
    <xf numFmtId="0" fontId="5" fillId="0" borderId="17" xfId="1" applyFont="1" applyBorder="1"/>
    <xf numFmtId="0" fontId="0" fillId="0" borderId="0" xfId="0" applyAlignment="1">
      <alignment horizontal="center"/>
    </xf>
    <xf numFmtId="0" fontId="1" fillId="11" borderId="0" xfId="0" applyFont="1" applyFill="1"/>
    <xf numFmtId="0" fontId="1" fillId="11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/>
    </xf>
    <xf numFmtId="0" fontId="5" fillId="0" borderId="0" xfId="1" applyFont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2" fillId="0" borderId="0" xfId="1" applyAlignment="1">
      <alignment horizontal="center" vertical="center" wrapText="1"/>
    </xf>
    <xf numFmtId="0" fontId="2" fillId="0" borderId="7" xfId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11" fillId="0" borderId="0" xfId="0" applyFont="1"/>
    <xf numFmtId="14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15" fontId="2" fillId="0" borderId="0" xfId="1" applyNumberForma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8" borderId="0" xfId="1" applyFill="1" applyAlignment="1">
      <alignment horizontal="left" vertical="top"/>
    </xf>
    <xf numFmtId="0" fontId="3" fillId="8" borderId="0" xfId="1" applyFont="1" applyFill="1" applyAlignment="1">
      <alignment horizontal="left" vertical="top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/>
    <xf numFmtId="15" fontId="2" fillId="0" borderId="0" xfId="1" applyNumberFormat="1" applyAlignment="1">
      <alignment vertical="center" wrapText="1"/>
    </xf>
    <xf numFmtId="0" fontId="2" fillId="0" borderId="0" xfId="1" applyAlignment="1">
      <alignment vertical="center" wrapText="1"/>
    </xf>
    <xf numFmtId="22" fontId="1" fillId="0" borderId="0" xfId="0" applyNumberFormat="1" applyFont="1" applyAlignment="1">
      <alignment horizontal="left"/>
    </xf>
    <xf numFmtId="0" fontId="3" fillId="0" borderId="0" xfId="1" applyFont="1" applyAlignment="1">
      <alignment horizontal="right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12" fillId="10" borderId="0" xfId="0" applyFont="1" applyFill="1"/>
    <xf numFmtId="0" fontId="13" fillId="0" borderId="0" xfId="0" applyFont="1"/>
    <xf numFmtId="0" fontId="1" fillId="0" borderId="0" xfId="0" applyFont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wrapText="1"/>
    </xf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11" borderId="0" xfId="0" applyFill="1" applyAlignment="1">
      <alignment vertical="top"/>
    </xf>
    <xf numFmtId="0" fontId="3" fillId="8" borderId="0" xfId="1" applyFont="1" applyFill="1" applyAlignment="1">
      <alignment horizontal="right"/>
    </xf>
    <xf numFmtId="0" fontId="2" fillId="12" borderId="0" xfId="1" applyFill="1"/>
    <xf numFmtId="0" fontId="14" fillId="13" borderId="0" xfId="1" applyFont="1" applyFill="1"/>
    <xf numFmtId="0" fontId="2" fillId="3" borderId="0" xfId="1" applyFill="1"/>
  </cellXfs>
  <cellStyles count="3">
    <cellStyle name="ER.Error" xfId="2" xr:uid="{CEE3D495-84B2-4849-8900-CB841D5D1FF2}"/>
    <cellStyle name="Normal" xfId="0" builtinId="0"/>
    <cellStyle name="Normal 2" xfId="1" xr:uid="{2393B0EE-FD77-A34F-B5D8-AE530B930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[1]Sheet1!$W$23:$W$30</c:f>
              <c:numCache>
                <c:formatCode>General</c:formatCode>
                <c:ptCount val="8"/>
                <c:pt idx="0">
                  <c:v>2.4539500456303358</c:v>
                </c:pt>
                <c:pt idx="1">
                  <c:v>1.357900021597743</c:v>
                </c:pt>
                <c:pt idx="2">
                  <c:v>0.72170001082122326</c:v>
                </c:pt>
                <c:pt idx="3">
                  <c:v>0.47579999081790447</c:v>
                </c:pt>
                <c:pt idx="4">
                  <c:v>0.2191499974578619</c:v>
                </c:pt>
                <c:pt idx="5">
                  <c:v>9.6400005742907524E-2</c:v>
                </c:pt>
                <c:pt idx="6">
                  <c:v>6.2850000336766243E-2</c:v>
                </c:pt>
                <c:pt idx="7">
                  <c:v>0</c:v>
                </c:pt>
              </c:numCache>
            </c:numRef>
          </c:xVal>
          <c:yVal>
            <c:numRef>
              <c:f>[1]Sheet1!$X$23:$X$30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47-EE49-BBC0-876DC3D49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47768"/>
        <c:axId val="163448096"/>
      </c:scatterChart>
      <c:valAx>
        <c:axId val="163447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48096"/>
        <c:crosses val="autoZero"/>
        <c:crossBetween val="midCat"/>
      </c:valAx>
      <c:valAx>
        <c:axId val="16344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47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HepG2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[3]Sheet1!$G$6:$J$6</c:f>
              <c:strCache>
                <c:ptCount val="4"/>
                <c:pt idx="0">
                  <c:v>Luc-0.125</c:v>
                </c:pt>
                <c:pt idx="1">
                  <c:v>Luc-0.25</c:v>
                </c:pt>
                <c:pt idx="2">
                  <c:v>Luc-0.5</c:v>
                </c:pt>
                <c:pt idx="3">
                  <c:v>Luc-1</c:v>
                </c:pt>
              </c:strCache>
            </c:strRef>
          </c:cat>
          <c:val>
            <c:numRef>
              <c:f>[3]Sheet1!$G$14:$J$14</c:f>
              <c:numCache>
                <c:formatCode>General</c:formatCode>
                <c:ptCount val="4"/>
                <c:pt idx="0">
                  <c:v>21004.303226070097</c:v>
                </c:pt>
                <c:pt idx="1">
                  <c:v>299037.8634760729</c:v>
                </c:pt>
                <c:pt idx="2">
                  <c:v>374757.27893373533</c:v>
                </c:pt>
                <c:pt idx="3">
                  <c:v>348727.78921592032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4-A14B-9363-3C85994A9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6654256"/>
        <c:axId val="806656224"/>
      </c:barChart>
      <c:catAx>
        <c:axId val="8066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656224"/>
        <c:crosses val="autoZero"/>
        <c:auto val="1"/>
        <c:lblAlgn val="ctr"/>
        <c:lblOffset val="100"/>
        <c:noMultiLvlLbl val="0"/>
      </c:catAx>
      <c:valAx>
        <c:axId val="8066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65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AD38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[3]Sheet1!$P$6:$S$6</c:f>
              <c:strCache>
                <c:ptCount val="4"/>
                <c:pt idx="0">
                  <c:v>Luc-0.125</c:v>
                </c:pt>
                <c:pt idx="1">
                  <c:v>Luc-0.25</c:v>
                </c:pt>
                <c:pt idx="2">
                  <c:v>Luc-0.5</c:v>
                </c:pt>
                <c:pt idx="3">
                  <c:v>Luc-1</c:v>
                </c:pt>
              </c:strCache>
            </c:strRef>
          </c:cat>
          <c:val>
            <c:numRef>
              <c:f>[3]Sheet1!$P$14:$S$14</c:f>
              <c:numCache>
                <c:formatCode>General</c:formatCode>
                <c:ptCount val="4"/>
                <c:pt idx="0">
                  <c:v>44073.376537878248</c:v>
                </c:pt>
                <c:pt idx="1">
                  <c:v>93120.84146508835</c:v>
                </c:pt>
                <c:pt idx="2">
                  <c:v>330167.32094737602</c:v>
                </c:pt>
                <c:pt idx="3">
                  <c:v>298716.7217526132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1-D74A-977D-9E242FB7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998360"/>
        <c:axId val="769000328"/>
      </c:barChart>
      <c:catAx>
        <c:axId val="76899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000328"/>
        <c:crosses val="autoZero"/>
        <c:auto val="1"/>
        <c:lblAlgn val="ctr"/>
        <c:lblOffset val="100"/>
        <c:noMultiLvlLbl val="0"/>
      </c:catAx>
      <c:valAx>
        <c:axId val="76900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99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386745406824153"/>
                  <c:y val="-0.133480242053076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[2]Sheet1!$F$68:$K$68</c:f>
              <c:numCache>
                <c:formatCode>General</c:formatCode>
                <c:ptCount val="6"/>
                <c:pt idx="0">
                  <c:v>20.83</c:v>
                </c:pt>
                <c:pt idx="1">
                  <c:v>22.79</c:v>
                </c:pt>
                <c:pt idx="2">
                  <c:v>26.41</c:v>
                </c:pt>
                <c:pt idx="3">
                  <c:v>29.44</c:v>
                </c:pt>
                <c:pt idx="4">
                  <c:v>31.74</c:v>
                </c:pt>
                <c:pt idx="5">
                  <c:v>33.4</c:v>
                </c:pt>
              </c:numCache>
            </c:numRef>
          </c:xVal>
          <c:yVal>
            <c:numRef>
              <c:f>[2]Sheet1!$F$69:$K$69</c:f>
              <c:numCache>
                <c:formatCode>General</c:formatCode>
                <c:ptCount val="6"/>
                <c:pt idx="0">
                  <c:v>14.287712379549449</c:v>
                </c:pt>
                <c:pt idx="1">
                  <c:v>10.965784284662087</c:v>
                </c:pt>
                <c:pt idx="2">
                  <c:v>7.6438561897747244</c:v>
                </c:pt>
                <c:pt idx="3">
                  <c:v>4.3219280948873626</c:v>
                </c:pt>
                <c:pt idx="4">
                  <c:v>3.3219280948873626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18-8E46-8490-C589E09CE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398344"/>
        <c:axId val="672410808"/>
      </c:scatterChart>
      <c:valAx>
        <c:axId val="67239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410808"/>
        <c:crosses val="autoZero"/>
        <c:crossBetween val="midCat"/>
      </c:valAx>
      <c:valAx>
        <c:axId val="67241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398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HepG2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[2]Sheet1!$E$11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[2]Sheet1!$F$3:$J$3</c:f>
              <c:strCache>
                <c:ptCount val="5"/>
                <c:pt idx="0">
                  <c:v>Luc-0.125</c:v>
                </c:pt>
                <c:pt idx="1">
                  <c:v>Luc-0.25</c:v>
                </c:pt>
                <c:pt idx="2">
                  <c:v>Luc-0.5</c:v>
                </c:pt>
                <c:pt idx="3">
                  <c:v>Luc-1</c:v>
                </c:pt>
                <c:pt idx="4">
                  <c:v>Luc-1+EFV</c:v>
                </c:pt>
              </c:strCache>
            </c:strRef>
          </c:cat>
          <c:val>
            <c:numRef>
              <c:f>[2]Sheet1!$F$11:$J$11</c:f>
              <c:numCache>
                <c:formatCode>General</c:formatCode>
                <c:ptCount val="5"/>
                <c:pt idx="0">
                  <c:v>57578.176316141216</c:v>
                </c:pt>
                <c:pt idx="1">
                  <c:v>81999.195848902891</c:v>
                </c:pt>
                <c:pt idx="2">
                  <c:v>686709.21974129265</c:v>
                </c:pt>
                <c:pt idx="3">
                  <c:v>421429.16715128429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F-544D-9A98-E815B94732F6}"/>
            </c:ext>
          </c:extLst>
        </c:ser>
        <c:ser>
          <c:idx val="1"/>
          <c:order val="1"/>
          <c:tx>
            <c:strRef>
              <c:f>[2]Sheet1!$E$28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[2]Sheet1!$F$3:$J$3</c:f>
              <c:strCache>
                <c:ptCount val="5"/>
                <c:pt idx="0">
                  <c:v>Luc-0.125</c:v>
                </c:pt>
                <c:pt idx="1">
                  <c:v>Luc-0.25</c:v>
                </c:pt>
                <c:pt idx="2">
                  <c:v>Luc-0.5</c:v>
                </c:pt>
                <c:pt idx="3">
                  <c:v>Luc-1</c:v>
                </c:pt>
                <c:pt idx="4">
                  <c:v>Luc-1+EFV</c:v>
                </c:pt>
              </c:strCache>
            </c:strRef>
          </c:cat>
          <c:val>
            <c:numRef>
              <c:f>[2]Sheet1!$F$28:$J$28</c:f>
              <c:numCache>
                <c:formatCode>General</c:formatCode>
                <c:ptCount val="5"/>
                <c:pt idx="0">
                  <c:v>55566.316034500785</c:v>
                </c:pt>
                <c:pt idx="1">
                  <c:v>134886.9396249546</c:v>
                </c:pt>
                <c:pt idx="2">
                  <c:v>248184.29639770614</c:v>
                </c:pt>
                <c:pt idx="3">
                  <c:v>476472.51644263911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DF-544D-9A98-E815B9473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151512"/>
        <c:axId val="256153480"/>
      </c:barChart>
      <c:catAx>
        <c:axId val="25615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3480"/>
        <c:crosses val="autoZero"/>
        <c:auto val="1"/>
        <c:lblAlgn val="ctr"/>
        <c:lblOffset val="100"/>
        <c:noMultiLvlLbl val="0"/>
      </c:catAx>
      <c:valAx>
        <c:axId val="25615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AD38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[2]Sheet1!$N$11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[2]Sheet1!$O$3:$S$3</c:f>
              <c:strCache>
                <c:ptCount val="5"/>
                <c:pt idx="0">
                  <c:v>Luc-0.125</c:v>
                </c:pt>
                <c:pt idx="1">
                  <c:v>Luc-0.25</c:v>
                </c:pt>
                <c:pt idx="2">
                  <c:v>Luc-0.5</c:v>
                </c:pt>
                <c:pt idx="3">
                  <c:v>Luc-1</c:v>
                </c:pt>
                <c:pt idx="4">
                  <c:v>Luc-1+EFV</c:v>
                </c:pt>
              </c:strCache>
            </c:strRef>
          </c:cat>
          <c:val>
            <c:numRef>
              <c:f>[2]Sheet1!$O$11:$S$11</c:f>
              <c:numCache>
                <c:formatCode>General</c:formatCode>
                <c:ptCount val="5"/>
                <c:pt idx="0">
                  <c:v>67160.10231833141</c:v>
                </c:pt>
                <c:pt idx="1">
                  <c:v>141230.1066063162</c:v>
                </c:pt>
                <c:pt idx="2">
                  <c:v>379656.83989822108</c:v>
                </c:pt>
                <c:pt idx="3">
                  <c:v>527698.54293086089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1643-AA56-F45D805B710F}"/>
            </c:ext>
          </c:extLst>
        </c:ser>
        <c:ser>
          <c:idx val="1"/>
          <c:order val="1"/>
          <c:tx>
            <c:strRef>
              <c:f>[2]Sheet1!$N$28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[2]Sheet1!$O$3:$S$3</c:f>
              <c:strCache>
                <c:ptCount val="5"/>
                <c:pt idx="0">
                  <c:v>Luc-0.125</c:v>
                </c:pt>
                <c:pt idx="1">
                  <c:v>Luc-0.25</c:v>
                </c:pt>
                <c:pt idx="2">
                  <c:v>Luc-0.5</c:v>
                </c:pt>
                <c:pt idx="3">
                  <c:v>Luc-1</c:v>
                </c:pt>
                <c:pt idx="4">
                  <c:v>Luc-1+EFV</c:v>
                </c:pt>
              </c:strCache>
            </c:strRef>
          </c:cat>
          <c:val>
            <c:numRef>
              <c:f>[2]Sheet1!$O$28:$S$28</c:f>
              <c:numCache>
                <c:formatCode>General</c:formatCode>
                <c:ptCount val="5"/>
                <c:pt idx="0">
                  <c:v>55301.946526358144</c:v>
                </c:pt>
                <c:pt idx="1">
                  <c:v>140270.68175493015</c:v>
                </c:pt>
                <c:pt idx="2">
                  <c:v>262379.37784508121</c:v>
                </c:pt>
                <c:pt idx="3">
                  <c:v>659453.14906795253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C-1643-AA56-F45D805B7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401296"/>
        <c:axId val="672398016"/>
      </c:barChart>
      <c:catAx>
        <c:axId val="67240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398016"/>
        <c:crosses val="autoZero"/>
        <c:auto val="1"/>
        <c:lblAlgn val="ctr"/>
        <c:lblOffset val="100"/>
        <c:noMultiLvlLbl val="0"/>
      </c:catAx>
      <c:valAx>
        <c:axId val="6723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40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'171018 AD dil'!$T$37:$T$44</c:f>
              <c:numCache>
                <c:formatCode>General</c:formatCode>
                <c:ptCount val="8"/>
                <c:pt idx="0">
                  <c:v>2.6162000223994255</c:v>
                </c:pt>
                <c:pt idx="1">
                  <c:v>1.1904999539256096</c:v>
                </c:pt>
                <c:pt idx="2">
                  <c:v>0.55169998854398727</c:v>
                </c:pt>
                <c:pt idx="3">
                  <c:v>0.26120000332593918</c:v>
                </c:pt>
                <c:pt idx="4">
                  <c:v>0.13440000265836716</c:v>
                </c:pt>
                <c:pt idx="5">
                  <c:v>7.6699994504451752E-2</c:v>
                </c:pt>
                <c:pt idx="6">
                  <c:v>5.6699998676776886E-2</c:v>
                </c:pt>
                <c:pt idx="7">
                  <c:v>0</c:v>
                </c:pt>
              </c:numCache>
            </c:numRef>
          </c:xVal>
          <c:yVal>
            <c:numRef>
              <c:f>'171018 AD dil'!$U$37:$U$44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40-2F4C-A247-66DC46A62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322560"/>
        <c:axId val="359321904"/>
      </c:scatterChart>
      <c:valAx>
        <c:axId val="35932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21904"/>
        <c:crosses val="autoZero"/>
        <c:crossBetween val="midCat"/>
      </c:valAx>
      <c:valAx>
        <c:axId val="35932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2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'171018 AD dil'!$T$25:$T$32</c:f>
              <c:numCache>
                <c:formatCode>General</c:formatCode>
                <c:ptCount val="8"/>
                <c:pt idx="0">
                  <c:v>2.3831999786198139</c:v>
                </c:pt>
                <c:pt idx="1">
                  <c:v>1.0636500008404255</c:v>
                </c:pt>
                <c:pt idx="2">
                  <c:v>0.57000001147389412</c:v>
                </c:pt>
                <c:pt idx="3">
                  <c:v>0.40095000341534615</c:v>
                </c:pt>
                <c:pt idx="4">
                  <c:v>0.2033500112593174</c:v>
                </c:pt>
                <c:pt idx="5">
                  <c:v>0.24885000661015511</c:v>
                </c:pt>
                <c:pt idx="6">
                  <c:v>0.22374999895691872</c:v>
                </c:pt>
                <c:pt idx="7">
                  <c:v>0</c:v>
                </c:pt>
              </c:numCache>
            </c:numRef>
          </c:xVal>
          <c:yVal>
            <c:numRef>
              <c:f>'171018 AD dil'!$U$25:$U$32</c:f>
              <c:numCache>
                <c:formatCode>General</c:formatCode>
                <c:ptCount val="8"/>
                <c:pt idx="0">
                  <c:v>909.09090909090901</c:v>
                </c:pt>
                <c:pt idx="1">
                  <c:v>454.5454545454545</c:v>
                </c:pt>
                <c:pt idx="2">
                  <c:v>227.27272727272725</c:v>
                </c:pt>
                <c:pt idx="3">
                  <c:v>113.63636363636363</c:v>
                </c:pt>
                <c:pt idx="4">
                  <c:v>56.818181818181813</c:v>
                </c:pt>
                <c:pt idx="5">
                  <c:v>28.409090909090907</c:v>
                </c:pt>
                <c:pt idx="6">
                  <c:v>14.204545454545453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2A-1747-96FF-64541F7CA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321248"/>
        <c:axId val="359322232"/>
      </c:scatterChart>
      <c:valAx>
        <c:axId val="35932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22232"/>
        <c:crosses val="autoZero"/>
        <c:crossBetween val="midCat"/>
      </c:valAx>
      <c:valAx>
        <c:axId val="35932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2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551290463692039"/>
                  <c:y val="4.8592884222805482E-4"/>
                </c:manualLayout>
              </c:layout>
              <c:numFmt formatCode="General" sourceLinked="0"/>
            </c:trendlineLbl>
          </c:trendline>
          <c:xVal>
            <c:numRef>
              <c:f>'171129'!$T$5:$T$13</c:f>
              <c:numCache>
                <c:formatCode>General</c:formatCode>
                <c:ptCount val="9"/>
                <c:pt idx="0">
                  <c:v>1.6809000056236982</c:v>
                </c:pt>
                <c:pt idx="1">
                  <c:v>0.74079999141395092</c:v>
                </c:pt>
                <c:pt idx="3">
                  <c:v>0.35394999198615551</c:v>
                </c:pt>
                <c:pt idx="4">
                  <c:v>0.17609999887645245</c:v>
                </c:pt>
                <c:pt idx="5">
                  <c:v>8.3750000223517418E-2</c:v>
                </c:pt>
                <c:pt idx="6">
                  <c:v>3.9249999448657036E-2</c:v>
                </c:pt>
                <c:pt idx="7">
                  <c:v>1.7850002273917198E-2</c:v>
                </c:pt>
                <c:pt idx="8">
                  <c:v>0</c:v>
                </c:pt>
              </c:numCache>
            </c:numRef>
          </c:xVal>
          <c:yVal>
            <c:numRef>
              <c:f>'171129'!$U$5:$U$13</c:f>
              <c:numCache>
                <c:formatCode>General</c:formatCode>
                <c:ptCount val="9"/>
                <c:pt idx="0">
                  <c:v>1000</c:v>
                </c:pt>
                <c:pt idx="1">
                  <c:v>500</c:v>
                </c:pt>
                <c:pt idx="3">
                  <c:v>250</c:v>
                </c:pt>
                <c:pt idx="4">
                  <c:v>125</c:v>
                </c:pt>
                <c:pt idx="5">
                  <c:v>62.5</c:v>
                </c:pt>
                <c:pt idx="6">
                  <c:v>31.25</c:v>
                </c:pt>
                <c:pt idx="7">
                  <c:v>15.625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46-AC41-A85D-8DB2B2E10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35264"/>
        <c:axId val="65045248"/>
      </c:scatterChart>
      <c:valAx>
        <c:axId val="650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45248"/>
        <c:crosses val="autoZero"/>
        <c:crossBetween val="midCat"/>
      </c:valAx>
      <c:valAx>
        <c:axId val="6504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035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551290463692039"/>
                  <c:y val="4.8592884222805482E-4"/>
                </c:manualLayout>
              </c:layout>
              <c:numFmt formatCode="General" sourceLinked="0"/>
            </c:trendlineLbl>
          </c:trendline>
          <c:xVal>
            <c:numRef>
              <c:f>'171219 G2 '!$S$6:$S$13</c:f>
              <c:numCache>
                <c:formatCode>General</c:formatCode>
                <c:ptCount val="8"/>
                <c:pt idx="0">
                  <c:v>1.6809000056236982</c:v>
                </c:pt>
                <c:pt idx="1">
                  <c:v>0.74079999141395092</c:v>
                </c:pt>
                <c:pt idx="2">
                  <c:v>0.35394999198615551</c:v>
                </c:pt>
                <c:pt idx="3">
                  <c:v>0.17609999887645245</c:v>
                </c:pt>
                <c:pt idx="4">
                  <c:v>8.3750000223517418E-2</c:v>
                </c:pt>
                <c:pt idx="5">
                  <c:v>3.9249999448657036E-2</c:v>
                </c:pt>
                <c:pt idx="6">
                  <c:v>1.7850002273917198E-2</c:v>
                </c:pt>
                <c:pt idx="7">
                  <c:v>0</c:v>
                </c:pt>
              </c:numCache>
            </c:numRef>
          </c:xVal>
          <c:yVal>
            <c:numRef>
              <c:f>'171219 G2 '!$T$6:$T$13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C1-CB47-9DA8-83D123A4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35264"/>
        <c:axId val="65045248"/>
      </c:scatterChart>
      <c:valAx>
        <c:axId val="650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45248"/>
        <c:crosses val="autoZero"/>
        <c:crossBetween val="midCat"/>
      </c:valAx>
      <c:valAx>
        <c:axId val="6504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035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'180224 27 AD'!$V$6:$V$13</c:f>
              <c:numCache>
                <c:formatCode>General</c:formatCode>
                <c:ptCount val="8"/>
                <c:pt idx="0">
                  <c:v>2.1454000007361174</c:v>
                </c:pt>
                <c:pt idx="1">
                  <c:v>0.95194996707141399</c:v>
                </c:pt>
                <c:pt idx="2">
                  <c:v>0.44889999739825726</c:v>
                </c:pt>
                <c:pt idx="3">
                  <c:v>0.21479999832808971</c:v>
                </c:pt>
                <c:pt idx="4">
                  <c:v>0.10089999996125698</c:v>
                </c:pt>
                <c:pt idx="5">
                  <c:v>5.0649998709559441E-2</c:v>
                </c:pt>
                <c:pt idx="6">
                  <c:v>2.4899998679757118E-2</c:v>
                </c:pt>
                <c:pt idx="7">
                  <c:v>0</c:v>
                </c:pt>
              </c:numCache>
            </c:numRef>
          </c:xVal>
          <c:yVal>
            <c:numRef>
              <c:f>'180224 27 AD'!$W$6:$W$13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30-BB43-9D12-72269D258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11296"/>
        <c:axId val="65134592"/>
      </c:scatterChart>
      <c:valAx>
        <c:axId val="939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134592"/>
        <c:crosses val="autoZero"/>
        <c:crossBetween val="midCat"/>
      </c:valAx>
      <c:valAx>
        <c:axId val="6513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11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aseline="0"/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'180420'!$V$6:$V$13</c:f>
              <c:numCache>
                <c:formatCode>General</c:formatCode>
                <c:ptCount val="8"/>
                <c:pt idx="0">
                  <c:v>2.2171000493690372</c:v>
                </c:pt>
                <c:pt idx="1">
                  <c:v>1.0072999848052859</c:v>
                </c:pt>
                <c:pt idx="2">
                  <c:v>0.50360002648085356</c:v>
                </c:pt>
                <c:pt idx="3">
                  <c:v>0.24060000013560057</c:v>
                </c:pt>
                <c:pt idx="4">
                  <c:v>0.11374999862164259</c:v>
                </c:pt>
                <c:pt idx="5">
                  <c:v>5.2299997769296169E-2</c:v>
                </c:pt>
                <c:pt idx="6">
                  <c:v>2.8950001113116741E-2</c:v>
                </c:pt>
                <c:pt idx="7">
                  <c:v>0</c:v>
                </c:pt>
              </c:numCache>
            </c:numRef>
          </c:xVal>
          <c:yVal>
            <c:numRef>
              <c:f>'180420'!$W$6:$W$13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9A-3D48-8909-2482AA36D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643160"/>
        <c:axId val="379643488"/>
      </c:scatterChart>
      <c:valAx>
        <c:axId val="3796431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43488"/>
        <c:crosses val="autoZero"/>
        <c:crossBetween val="midCat"/>
      </c:valAx>
      <c:valAx>
        <c:axId val="3796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43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22346257350748E-2"/>
          <c:y val="7.4548702245552642E-2"/>
          <c:w val="0.6151424299810625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1791272965879266"/>
                  <c:y val="9.6999125109361331E-2"/>
                </c:manualLayout>
              </c:layout>
              <c:numFmt formatCode="General" sourceLinked="0"/>
            </c:trendlineLbl>
          </c:trendline>
          <c:xVal>
            <c:numRef>
              <c:f>'180711 '!$R$6:$R$13</c:f>
              <c:numCache>
                <c:formatCode>General</c:formatCode>
                <c:ptCount val="8"/>
                <c:pt idx="0">
                  <c:v>2.086999885737896</c:v>
                </c:pt>
                <c:pt idx="1">
                  <c:v>0.94120001047849655</c:v>
                </c:pt>
                <c:pt idx="2">
                  <c:v>0.41919999569654465</c:v>
                </c:pt>
                <c:pt idx="3">
                  <c:v>0.18779999762773514</c:v>
                </c:pt>
                <c:pt idx="4">
                  <c:v>9.3900002539157867E-2</c:v>
                </c:pt>
                <c:pt idx="5">
                  <c:v>4.3300002813339233E-2</c:v>
                </c:pt>
                <c:pt idx="6">
                  <c:v>2.1200001239776611E-2</c:v>
                </c:pt>
                <c:pt idx="7">
                  <c:v>0</c:v>
                </c:pt>
              </c:numCache>
            </c:numRef>
          </c:xVal>
          <c:yVal>
            <c:numRef>
              <c:f>'180711 '!$S$6:$S$13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2D-BA4F-8F6B-B7D51D10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29984"/>
        <c:axId val="95528064"/>
      </c:scatterChart>
      <c:valAx>
        <c:axId val="955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8064"/>
        <c:crosses val="autoZero"/>
        <c:crossBetween val="midCat"/>
      </c:valAx>
      <c:valAx>
        <c:axId val="9552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29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921194225721785"/>
                  <c:y val="-0.378132837561971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[3]Sheet1!$E$30:$J$30</c:f>
              <c:numCache>
                <c:formatCode>General</c:formatCode>
                <c:ptCount val="6"/>
                <c:pt idx="0">
                  <c:v>23.664999999999999</c:v>
                </c:pt>
                <c:pt idx="1">
                  <c:v>25.854999999999997</c:v>
                </c:pt>
                <c:pt idx="2">
                  <c:v>28.935000000000002</c:v>
                </c:pt>
                <c:pt idx="3">
                  <c:v>32.625</c:v>
                </c:pt>
                <c:pt idx="4">
                  <c:v>34.200000000000003</c:v>
                </c:pt>
                <c:pt idx="5">
                  <c:v>37.135000000000005</c:v>
                </c:pt>
              </c:numCache>
            </c:numRef>
          </c:xVal>
          <c:yVal>
            <c:numRef>
              <c:f>[3]Sheet1!$E$31:$J$31</c:f>
              <c:numCache>
                <c:formatCode>General</c:formatCode>
                <c:ptCount val="6"/>
                <c:pt idx="0">
                  <c:v>14.287712379549449</c:v>
                </c:pt>
                <c:pt idx="1">
                  <c:v>10.965784284662087</c:v>
                </c:pt>
                <c:pt idx="2">
                  <c:v>7.6438561897747244</c:v>
                </c:pt>
                <c:pt idx="3">
                  <c:v>4.3219280948873626</c:v>
                </c:pt>
                <c:pt idx="4">
                  <c:v>3.3219280948873626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25-774F-82B3-09E3940B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203960"/>
        <c:axId val="537116328"/>
      </c:scatterChart>
      <c:valAx>
        <c:axId val="53120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116328"/>
        <c:crosses val="autoZero"/>
        <c:crossBetween val="midCat"/>
      </c:valAx>
      <c:valAx>
        <c:axId val="53711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203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644525</xdr:colOff>
      <xdr:row>4</xdr:row>
      <xdr:rowOff>168275</xdr:rowOff>
    </xdr:from>
    <xdr:to>
      <xdr:col>22</xdr:col>
      <xdr:colOff>165100</xdr:colOff>
      <xdr:row>20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E17132-F7E8-BB4F-A7D1-25A8BDDF1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32</xdr:row>
      <xdr:rowOff>71437</xdr:rowOff>
    </xdr:from>
    <xdr:to>
      <xdr:col>24</xdr:col>
      <xdr:colOff>495300</xdr:colOff>
      <xdr:row>46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AAB01-AF46-1340-B83F-6883B5942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28575</xdr:colOff>
      <xdr:row>24</xdr:row>
      <xdr:rowOff>176212</xdr:rowOff>
    </xdr:from>
    <xdr:to>
      <xdr:col>34</xdr:col>
      <xdr:colOff>333375</xdr:colOff>
      <xdr:row>39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404AF8-2434-494C-BAAE-725EE39D4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76200</xdr:colOff>
      <xdr:row>40</xdr:row>
      <xdr:rowOff>90487</xdr:rowOff>
    </xdr:from>
    <xdr:to>
      <xdr:col>34</xdr:col>
      <xdr:colOff>381000</xdr:colOff>
      <xdr:row>54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CFFFAE-7CA1-AD4B-B615-FBD6FC8D5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95250</xdr:colOff>
      <xdr:row>57</xdr:row>
      <xdr:rowOff>147637</xdr:rowOff>
    </xdr:from>
    <xdr:to>
      <xdr:col>36</xdr:col>
      <xdr:colOff>400050</xdr:colOff>
      <xdr:row>72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5E15E7-E63A-0047-99C5-7AFCAEC71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366712</xdr:colOff>
      <xdr:row>32</xdr:row>
      <xdr:rowOff>157162</xdr:rowOff>
    </xdr:from>
    <xdr:to>
      <xdr:col>26</xdr:col>
      <xdr:colOff>61912</xdr:colOff>
      <xdr:row>47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B96866-CA9C-3149-9EB0-6E61E5DBA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509587</xdr:colOff>
      <xdr:row>34</xdr:row>
      <xdr:rowOff>128587</xdr:rowOff>
    </xdr:from>
    <xdr:to>
      <xdr:col>37</xdr:col>
      <xdr:colOff>204787</xdr:colOff>
      <xdr:row>49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FA2922-2ADB-0C48-B1CF-F4434AF63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79375</xdr:colOff>
      <xdr:row>46</xdr:row>
      <xdr:rowOff>22225</xdr:rowOff>
    </xdr:from>
    <xdr:to>
      <xdr:col>22</xdr:col>
      <xdr:colOff>384175</xdr:colOff>
      <xdr:row>60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F8D8EE-DBE2-F746-BDC6-480B370FF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34925</xdr:colOff>
      <xdr:row>6</xdr:row>
      <xdr:rowOff>85725</xdr:rowOff>
    </xdr:from>
    <xdr:to>
      <xdr:col>22</xdr:col>
      <xdr:colOff>403225</xdr:colOff>
      <xdr:row>20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D6F53E-91C5-D442-9FE3-69A41A874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176212</xdr:colOff>
      <xdr:row>16</xdr:row>
      <xdr:rowOff>155575</xdr:rowOff>
    </xdr:from>
    <xdr:to>
      <xdr:col>23</xdr:col>
      <xdr:colOff>544512</xdr:colOff>
      <xdr:row>31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1C1528-EA18-DE4C-9288-70BB2E1EB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13</xdr:row>
      <xdr:rowOff>168275</xdr:rowOff>
    </xdr:from>
    <xdr:to>
      <xdr:col>23</xdr:col>
      <xdr:colOff>87312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D5ED9-3F9A-B64E-B025-A771E675A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228600</xdr:colOff>
      <xdr:row>39</xdr:row>
      <xdr:rowOff>190500</xdr:rowOff>
    </xdr:from>
    <xdr:to>
      <xdr:col>23</xdr:col>
      <xdr:colOff>88900</xdr:colOff>
      <xdr:row>57</xdr:row>
      <xdr:rowOff>95197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2CF083-E051-244B-901E-65B8FB8A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500" y="11557000"/>
          <a:ext cx="5245100" cy="3562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365125</xdr:colOff>
      <xdr:row>19</xdr:row>
      <xdr:rowOff>11112</xdr:rowOff>
    </xdr:from>
    <xdr:to>
      <xdr:col>23</xdr:col>
      <xdr:colOff>669925</xdr:colOff>
      <xdr:row>33</xdr:row>
      <xdr:rowOff>68262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9BF595-A5A4-4442-AD79-7DE9F7AB0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377824</xdr:colOff>
      <xdr:row>15</xdr:row>
      <xdr:rowOff>168274</xdr:rowOff>
    </xdr:from>
    <xdr:to>
      <xdr:col>24</xdr:col>
      <xdr:colOff>596899</xdr:colOff>
      <xdr:row>34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AB5056-0355-3144-887B-BFFC6C745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14</xdr:row>
      <xdr:rowOff>20637</xdr:rowOff>
    </xdr:from>
    <xdr:to>
      <xdr:col>20</xdr:col>
      <xdr:colOff>38100</xdr:colOff>
      <xdr:row>27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A530EF-8756-E444-8970-76982562D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795234</xdr:colOff>
      <xdr:row>11</xdr:row>
      <xdr:rowOff>130560</xdr:rowOff>
    </xdr:from>
    <xdr:to>
      <xdr:col>21</xdr:col>
      <xdr:colOff>331030</xdr:colOff>
      <xdr:row>27</xdr:row>
      <xdr:rowOff>23739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CB8F9D-8D92-1D48-9908-0762185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7010" y="2397569"/>
          <a:ext cx="5351684" cy="3169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20</xdr:row>
      <xdr:rowOff>25400</xdr:rowOff>
    </xdr:from>
    <xdr:to>
      <xdr:col>16</xdr:col>
      <xdr:colOff>698500</xdr:colOff>
      <xdr:row>33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87D00C-F397-D34A-8C20-1586E81A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0" y="4749800"/>
          <a:ext cx="4521200" cy="2712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has/Documents/Research/PhD/Aim%204%20Sof-XB/Xcel/CXCL10%20spreadsheets%20(archives)/#1 20171013 (w dilutions)/20171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416_Alu_HepG2_AD38_VSVG_Luc_2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401_Alu_HepG2_AD38_VSVG-Luc_different_MO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1"/>
      <sheetName val="Sheet1"/>
      <sheetName val="raw data 1 n infxn"/>
      <sheetName val="Sheet1 n infxn"/>
      <sheetName val="raw dil"/>
      <sheetName val="Sheet1 dil"/>
    </sheetNames>
    <sheetDataSet>
      <sheetData sheetId="0" refreshError="1"/>
      <sheetData sheetId="1">
        <row r="23">
          <cell r="W23">
            <v>2.4539500456303358</v>
          </cell>
          <cell r="X23">
            <v>1000</v>
          </cell>
        </row>
        <row r="24">
          <cell r="W24">
            <v>1.357900021597743</v>
          </cell>
          <cell r="X24">
            <v>500</v>
          </cell>
        </row>
        <row r="25">
          <cell r="W25">
            <v>0.72170001082122326</v>
          </cell>
          <cell r="X25">
            <v>250</v>
          </cell>
        </row>
        <row r="26">
          <cell r="W26">
            <v>0.47579999081790447</v>
          </cell>
          <cell r="X26">
            <v>125</v>
          </cell>
        </row>
        <row r="27">
          <cell r="W27">
            <v>0.2191499974578619</v>
          </cell>
          <cell r="X27">
            <v>62.5</v>
          </cell>
        </row>
        <row r="28">
          <cell r="W28">
            <v>9.6400005742907524E-2</v>
          </cell>
          <cell r="X28">
            <v>31.25</v>
          </cell>
        </row>
        <row r="29">
          <cell r="W29">
            <v>6.2850000336766243E-2</v>
          </cell>
          <cell r="X29">
            <v>15.625</v>
          </cell>
        </row>
        <row r="30">
          <cell r="W30">
            <v>0</v>
          </cell>
          <cell r="X30">
            <v>0</v>
          </cell>
        </row>
      </sheetData>
      <sheetData sheetId="2" refreshError="1"/>
      <sheetData sheetId="3">
        <row r="20">
          <cell r="W20">
            <v>2.503250103443861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F3" t="str">
            <v>Luc-0.125</v>
          </cell>
          <cell r="G3" t="str">
            <v>Luc-0.25</v>
          </cell>
          <cell r="H3" t="str">
            <v>Luc-0.5</v>
          </cell>
          <cell r="I3" t="str">
            <v>Luc-1</v>
          </cell>
          <cell r="J3" t="str">
            <v>Luc-1+EFV</v>
          </cell>
          <cell r="O3" t="str">
            <v>Luc-0.125</v>
          </cell>
          <cell r="P3" t="str">
            <v>Luc-0.25</v>
          </cell>
          <cell r="Q3" t="str">
            <v>Luc-0.5</v>
          </cell>
          <cell r="R3" t="str">
            <v>Luc-1</v>
          </cell>
          <cell r="S3" t="str">
            <v>Luc-1+EFV</v>
          </cell>
        </row>
        <row r="11">
          <cell r="F11">
            <v>57578.176316141216</v>
          </cell>
          <cell r="G11">
            <v>81999.195848902891</v>
          </cell>
          <cell r="H11">
            <v>686709.21974129265</v>
          </cell>
          <cell r="I11">
            <v>421429.16715128429</v>
          </cell>
          <cell r="O11">
            <v>67160.10231833141</v>
          </cell>
          <cell r="P11">
            <v>141230.1066063162</v>
          </cell>
          <cell r="Q11">
            <v>379656.83989822108</v>
          </cell>
          <cell r="R11">
            <v>527698.54293086089</v>
          </cell>
          <cell r="S11">
            <v>0</v>
          </cell>
        </row>
        <row r="28">
          <cell r="F28">
            <v>55566.316034500785</v>
          </cell>
          <cell r="G28">
            <v>134886.9396249546</v>
          </cell>
          <cell r="H28">
            <v>248184.29639770614</v>
          </cell>
          <cell r="I28">
            <v>476472.51644263911</v>
          </cell>
          <cell r="O28">
            <v>55301.946526358144</v>
          </cell>
          <cell r="P28">
            <v>140270.68175493015</v>
          </cell>
          <cell r="Q28">
            <v>262379.37784508121</v>
          </cell>
          <cell r="R28">
            <v>659453.14906795253</v>
          </cell>
          <cell r="S28">
            <v>0</v>
          </cell>
        </row>
        <row r="68">
          <cell r="F68">
            <v>20.83</v>
          </cell>
          <cell r="G68">
            <v>22.79</v>
          </cell>
          <cell r="H68">
            <v>26.41</v>
          </cell>
          <cell r="I68">
            <v>29.44</v>
          </cell>
          <cell r="J68">
            <v>31.74</v>
          </cell>
          <cell r="K68">
            <v>33.4</v>
          </cell>
        </row>
        <row r="69">
          <cell r="F69">
            <v>14.287712379549449</v>
          </cell>
          <cell r="G69">
            <v>10.965784284662087</v>
          </cell>
          <cell r="H69">
            <v>7.6438561897747244</v>
          </cell>
          <cell r="I69">
            <v>4.3219280948873626</v>
          </cell>
          <cell r="J69">
            <v>3.3219280948873626</v>
          </cell>
          <cell r="K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G6" t="str">
            <v>Luc-0.125</v>
          </cell>
          <cell r="H6" t="str">
            <v>Luc-0.25</v>
          </cell>
          <cell r="I6" t="str">
            <v>Luc-0.5</v>
          </cell>
          <cell r="J6" t="str">
            <v>Luc-1</v>
          </cell>
          <cell r="P6" t="str">
            <v>Luc-0.125</v>
          </cell>
          <cell r="Q6" t="str">
            <v>Luc-0.25</v>
          </cell>
          <cell r="R6" t="str">
            <v>Luc-0.5</v>
          </cell>
          <cell r="S6" t="str">
            <v>Luc-1</v>
          </cell>
        </row>
        <row r="14">
          <cell r="G14">
            <v>21004.303226070097</v>
          </cell>
          <cell r="H14">
            <v>299037.8634760729</v>
          </cell>
          <cell r="I14">
            <v>374757.27893373533</v>
          </cell>
          <cell r="J14">
            <v>348727.78921592032</v>
          </cell>
          <cell r="P14">
            <v>44073.376537878248</v>
          </cell>
          <cell r="Q14">
            <v>93120.84146508835</v>
          </cell>
          <cell r="R14">
            <v>330167.32094737602</v>
          </cell>
          <cell r="S14">
            <v>298716.7217526132</v>
          </cell>
        </row>
        <row r="30">
          <cell r="E30">
            <v>23.664999999999999</v>
          </cell>
          <cell r="F30">
            <v>25.854999999999997</v>
          </cell>
          <cell r="G30">
            <v>28.935000000000002</v>
          </cell>
          <cell r="H30">
            <v>32.625</v>
          </cell>
          <cell r="I30">
            <v>34.200000000000003</v>
          </cell>
          <cell r="J30">
            <v>37.135000000000005</v>
          </cell>
        </row>
        <row r="31">
          <cell r="E31">
            <v>14.287712379549449</v>
          </cell>
          <cell r="F31">
            <v>10.965784284662087</v>
          </cell>
          <cell r="G31">
            <v>7.6438561897747244</v>
          </cell>
          <cell r="H31">
            <v>4.3219280948873626</v>
          </cell>
          <cell r="I31">
            <v>3.3219280948873626</v>
          </cell>
          <cell r="J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9674-45F2-F74B-BD03-006226E5D1DB}">
  <dimension ref="A1:BC74"/>
  <sheetViews>
    <sheetView workbookViewId="0">
      <selection sqref="A1:C38"/>
    </sheetView>
  </sheetViews>
  <sheetFormatPr baseColWidth="10" defaultRowHeight="15" x14ac:dyDescent="0.2"/>
  <cols>
    <col min="1" max="1" width="34.33203125" style="6" customWidth="1"/>
    <col min="2" max="2" width="16.1640625" style="6" customWidth="1"/>
    <col min="3" max="3" width="10.83203125" style="36"/>
    <col min="4" max="26" width="10.83203125" style="6"/>
    <col min="27" max="27" width="10.83203125" style="4"/>
    <col min="28" max="28" width="17.1640625" style="4" bestFit="1" customWidth="1"/>
    <col min="29" max="39" width="10.83203125" style="4"/>
    <col min="40" max="16384" width="10.83203125" style="6"/>
  </cols>
  <sheetData>
    <row r="1" spans="1:55" x14ac:dyDescent="0.2">
      <c r="C1" s="6"/>
      <c r="AA1" s="119"/>
      <c r="AB1" s="120"/>
      <c r="AC1" s="120"/>
      <c r="AD1" s="121"/>
      <c r="AE1" s="119"/>
      <c r="AF1" s="120"/>
      <c r="AG1" s="120"/>
      <c r="AH1" s="121"/>
      <c r="AI1" s="119"/>
      <c r="AJ1" s="120"/>
      <c r="AK1" s="120"/>
      <c r="AL1" s="121"/>
      <c r="AM1" s="122"/>
      <c r="AN1" s="123"/>
      <c r="AO1" s="123"/>
      <c r="AP1" s="124"/>
    </row>
    <row r="2" spans="1:55" ht="16" x14ac:dyDescent="0.2">
      <c r="A2" s="3" t="s">
        <v>162</v>
      </c>
      <c r="C2" s="6"/>
      <c r="AA2" s="97" t="s">
        <v>2</v>
      </c>
      <c r="AB2" s="98"/>
      <c r="AC2" s="98"/>
      <c r="AD2" s="98"/>
      <c r="AE2" s="98" t="s">
        <v>3</v>
      </c>
      <c r="AF2" s="98"/>
      <c r="AG2" s="98"/>
      <c r="AH2" s="98"/>
      <c r="AI2" s="98"/>
      <c r="AJ2" s="98"/>
      <c r="AK2" s="98"/>
      <c r="AL2" s="98"/>
      <c r="AM2" s="98"/>
    </row>
    <row r="3" spans="1:55" ht="32" x14ac:dyDescent="0.2">
      <c r="A3" s="5" t="s">
        <v>152</v>
      </c>
      <c r="B3" s="5"/>
      <c r="C3" s="6"/>
      <c r="AA3" s="98" t="s">
        <v>4</v>
      </c>
      <c r="AB3" s="98"/>
      <c r="AC3" s="98"/>
      <c r="AD3" s="98"/>
      <c r="AE3" s="98" t="s">
        <v>5</v>
      </c>
      <c r="AF3" s="98"/>
      <c r="AG3" s="98"/>
      <c r="AH3" s="98"/>
      <c r="AI3" s="98"/>
      <c r="AJ3" s="98"/>
      <c r="AK3" s="98"/>
      <c r="AL3" s="98"/>
      <c r="AM3" s="98"/>
    </row>
    <row r="4" spans="1:55" s="3" customFormat="1" ht="16" x14ac:dyDescent="0.2">
      <c r="A4" s="3" t="s">
        <v>160</v>
      </c>
      <c r="C4" s="6"/>
      <c r="D4" s="117" t="s">
        <v>9</v>
      </c>
      <c r="E4" s="117"/>
      <c r="F4" s="117"/>
      <c r="G4" s="117"/>
      <c r="H4" s="117"/>
      <c r="I4" s="117"/>
      <c r="K4" s="117" t="s">
        <v>8</v>
      </c>
      <c r="L4" s="117"/>
      <c r="M4" s="117"/>
      <c r="N4" s="117"/>
      <c r="O4" s="6"/>
      <c r="P4" s="6"/>
      <c r="Q4" s="3" t="s">
        <v>154</v>
      </c>
      <c r="R4" s="6"/>
      <c r="S4" s="6"/>
      <c r="T4" s="6"/>
      <c r="U4" s="6"/>
      <c r="V4" s="6"/>
      <c r="W4" s="6"/>
      <c r="X4" s="6"/>
      <c r="Y4" s="58"/>
      <c r="Z4" s="58"/>
      <c r="AA4" s="98" t="s">
        <v>6</v>
      </c>
      <c r="AB4" s="98"/>
      <c r="AC4" s="98"/>
      <c r="AD4" s="98"/>
      <c r="AE4" s="98" t="s">
        <v>7</v>
      </c>
      <c r="AF4" s="98"/>
      <c r="AG4" s="98"/>
      <c r="AH4" s="98"/>
      <c r="AI4" s="98"/>
      <c r="AJ4" s="98"/>
      <c r="AK4" s="98"/>
      <c r="AL4" s="98"/>
      <c r="AM4" s="9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6" x14ac:dyDescent="0.2">
      <c r="A5" s="3" t="s">
        <v>169</v>
      </c>
      <c r="B5" s="3" t="s">
        <v>168</v>
      </c>
      <c r="C5" s="6"/>
      <c r="D5" s="53" t="s">
        <v>48</v>
      </c>
      <c r="E5" s="53" t="s">
        <v>49</v>
      </c>
      <c r="F5" s="53" t="s">
        <v>49</v>
      </c>
      <c r="G5" s="53" t="s">
        <v>49</v>
      </c>
      <c r="H5" s="53" t="s">
        <v>49</v>
      </c>
      <c r="I5" s="53" t="s">
        <v>49</v>
      </c>
      <c r="J5" s="3"/>
      <c r="K5" s="53" t="s">
        <v>48</v>
      </c>
      <c r="L5" s="53" t="s">
        <v>49</v>
      </c>
      <c r="M5" s="53" t="s">
        <v>49</v>
      </c>
      <c r="N5" s="53" t="s">
        <v>49</v>
      </c>
      <c r="Y5" s="58"/>
      <c r="Z5" s="5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</row>
    <row r="6" spans="1:55" ht="16" x14ac:dyDescent="0.2">
      <c r="A6" s="3" t="s">
        <v>170</v>
      </c>
      <c r="B6" s="3" t="s">
        <v>171</v>
      </c>
      <c r="C6" s="6"/>
      <c r="D6" s="53"/>
      <c r="E6" s="53"/>
      <c r="F6" s="53" t="s">
        <v>142</v>
      </c>
      <c r="G6" s="53" t="s">
        <v>143</v>
      </c>
      <c r="H6" s="53" t="s">
        <v>144</v>
      </c>
      <c r="I6" s="53" t="s">
        <v>145</v>
      </c>
      <c r="J6" s="3"/>
      <c r="K6" s="53"/>
      <c r="L6" s="53"/>
      <c r="M6" s="53" t="s">
        <v>144</v>
      </c>
      <c r="N6" s="53" t="s">
        <v>145</v>
      </c>
      <c r="Y6" s="58"/>
      <c r="Z6" s="58"/>
      <c r="AA6" s="98" t="s">
        <v>52</v>
      </c>
      <c r="AB6" s="162">
        <v>43021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</row>
    <row r="7" spans="1:55" ht="16" x14ac:dyDescent="0.2">
      <c r="A7" s="3"/>
      <c r="B7" s="3"/>
      <c r="C7" s="6"/>
      <c r="D7" s="53"/>
      <c r="E7" s="53"/>
      <c r="F7" s="53"/>
      <c r="G7" s="53"/>
      <c r="H7" s="53"/>
      <c r="I7" s="53"/>
      <c r="J7" s="3"/>
      <c r="K7" s="53"/>
      <c r="L7" s="53"/>
      <c r="M7" s="53"/>
      <c r="N7" s="53"/>
      <c r="Y7" s="58"/>
      <c r="Z7" s="58"/>
      <c r="AA7" s="98" t="s">
        <v>53</v>
      </c>
      <c r="AB7" s="99">
        <v>0.78344907407407405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</row>
    <row r="8" spans="1:55" ht="16" x14ac:dyDescent="0.2">
      <c r="A8" s="6" t="s">
        <v>178</v>
      </c>
      <c r="C8" s="3" t="s">
        <v>165</v>
      </c>
      <c r="D8" s="53"/>
      <c r="E8" s="53"/>
      <c r="F8" s="53"/>
      <c r="G8" s="53"/>
      <c r="H8" s="53"/>
      <c r="I8" s="53"/>
      <c r="J8" s="3"/>
      <c r="K8" s="53"/>
      <c r="L8" s="53"/>
      <c r="M8" s="53"/>
      <c r="N8" s="53"/>
      <c r="Y8" s="58"/>
      <c r="Z8" s="5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</row>
    <row r="9" spans="1:55" s="54" customFormat="1" ht="16" x14ac:dyDescent="0.2">
      <c r="C9" s="3" t="s">
        <v>78</v>
      </c>
      <c r="D9" s="3">
        <v>0.11450000107288361</v>
      </c>
      <c r="E9" s="3">
        <v>0.60519999265670776</v>
      </c>
      <c r="F9" s="3">
        <v>0.47330000996589661</v>
      </c>
      <c r="G9" s="3">
        <v>0.46729999780654907</v>
      </c>
      <c r="H9" s="3">
        <v>0.5187000036239624</v>
      </c>
      <c r="I9" s="3">
        <v>0.64509999752044678</v>
      </c>
      <c r="J9" s="6"/>
      <c r="K9" s="6">
        <v>0.32829999923706055</v>
      </c>
      <c r="L9" s="6">
        <v>3.8222999572753906</v>
      </c>
      <c r="M9" s="13" t="s">
        <v>13</v>
      </c>
      <c r="N9" s="6">
        <v>3.7406001091003418</v>
      </c>
      <c r="O9" s="6"/>
      <c r="P9" s="6"/>
      <c r="Q9" s="6"/>
      <c r="R9" s="6"/>
      <c r="S9" s="6"/>
      <c r="T9" s="6"/>
      <c r="U9" s="6"/>
      <c r="V9" s="6"/>
      <c r="W9" s="6"/>
      <c r="X9" s="6"/>
      <c r="Y9" s="58"/>
      <c r="Z9" s="5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54" customFormat="1" ht="16" x14ac:dyDescent="0.2">
      <c r="B10" s="3"/>
      <c r="C10" s="3" t="s">
        <v>79</v>
      </c>
      <c r="D10" s="3">
        <v>0.1550000011920929</v>
      </c>
      <c r="E10" s="3">
        <v>0.61220002174377441</v>
      </c>
      <c r="F10" s="3">
        <v>0.5591999888420105</v>
      </c>
      <c r="G10" s="3">
        <v>0.41589999198913574</v>
      </c>
      <c r="H10" s="3">
        <v>0.5131000280380249</v>
      </c>
      <c r="I10" s="3">
        <v>0.64050000905990601</v>
      </c>
      <c r="J10" s="6"/>
      <c r="K10" s="6">
        <v>0.47299998998641968</v>
      </c>
      <c r="L10" s="6">
        <v>3.7730998992919922</v>
      </c>
      <c r="M10" s="13" t="s">
        <v>13</v>
      </c>
      <c r="N10" s="6">
        <v>3.8649001121520996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58"/>
      <c r="Z10" s="58"/>
      <c r="AA10" s="98" t="s">
        <v>10</v>
      </c>
      <c r="AB10" s="98"/>
      <c r="AC10" s="98"/>
      <c r="AD10" s="98"/>
      <c r="AE10" s="98" t="s">
        <v>11</v>
      </c>
      <c r="AF10" s="98"/>
      <c r="AG10" s="98"/>
      <c r="AH10" s="98"/>
      <c r="AI10" s="98"/>
      <c r="AJ10" s="98"/>
      <c r="AK10" s="98"/>
      <c r="AL10" s="98"/>
      <c r="AM10" s="98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16" x14ac:dyDescent="0.2">
      <c r="C11" s="6" t="s">
        <v>12</v>
      </c>
      <c r="D11" s="6">
        <f>AVERAGE(D9:D10)</f>
        <v>0.13475000113248825</v>
      </c>
      <c r="E11" s="6">
        <f t="shared" ref="E11:N11" si="0">AVERAGE(E9:E10)</f>
        <v>0.60870000720024109</v>
      </c>
      <c r="F11" s="6">
        <f t="shared" si="0"/>
        <v>0.51624999940395355</v>
      </c>
      <c r="G11" s="6">
        <f t="shared" si="0"/>
        <v>0.44159999489784241</v>
      </c>
      <c r="H11" s="6">
        <f t="shared" si="0"/>
        <v>0.51590001583099365</v>
      </c>
      <c r="I11" s="6">
        <f t="shared" si="0"/>
        <v>0.64280000329017639</v>
      </c>
      <c r="K11" s="6">
        <f t="shared" si="0"/>
        <v>0.40064999461174011</v>
      </c>
      <c r="L11" s="6">
        <f t="shared" si="0"/>
        <v>3.7976999282836914</v>
      </c>
      <c r="M11" s="6" t="e">
        <f t="shared" si="0"/>
        <v>#DIV/0!</v>
      </c>
      <c r="N11" s="6">
        <f t="shared" si="0"/>
        <v>3.8027501106262207</v>
      </c>
      <c r="Y11" s="58"/>
      <c r="Z11" s="58"/>
      <c r="AA11" s="98" t="s">
        <v>14</v>
      </c>
      <c r="AB11" s="98"/>
      <c r="AC11" s="98"/>
      <c r="AD11" s="98"/>
      <c r="AE11" s="98" t="s">
        <v>15</v>
      </c>
      <c r="AF11" s="98"/>
      <c r="AG11" s="98"/>
      <c r="AH11" s="98"/>
      <c r="AI11" s="98"/>
      <c r="AJ11" s="98"/>
      <c r="AK11" s="98"/>
      <c r="AL11" s="98"/>
      <c r="AM11" s="98"/>
    </row>
    <row r="12" spans="1:55" ht="48" x14ac:dyDescent="0.2">
      <c r="A12" s="2" t="s">
        <v>161</v>
      </c>
      <c r="B12" s="2"/>
      <c r="C12" s="5" t="s">
        <v>16</v>
      </c>
      <c r="D12" s="6">
        <f t="shared" ref="D12:I12" si="1">D11-$S$37</f>
        <v>9.9200000986456871E-2</v>
      </c>
      <c r="E12" s="6">
        <f t="shared" si="1"/>
        <v>0.57315000705420971</v>
      </c>
      <c r="F12" s="6">
        <f t="shared" si="1"/>
        <v>0.48069999925792217</v>
      </c>
      <c r="G12" s="6">
        <f t="shared" si="1"/>
        <v>0.40604999475181103</v>
      </c>
      <c r="H12" s="6">
        <f t="shared" si="1"/>
        <v>0.48035001568496227</v>
      </c>
      <c r="I12" s="6">
        <f t="shared" si="1"/>
        <v>0.60725000314414501</v>
      </c>
      <c r="K12" s="6">
        <f>K11-$S$37</f>
        <v>0.36509999446570873</v>
      </c>
      <c r="Y12" s="58"/>
      <c r="Z12" s="58"/>
      <c r="AA12" s="98" t="s">
        <v>17</v>
      </c>
      <c r="AB12" s="98"/>
      <c r="AC12" s="98"/>
      <c r="AD12" s="98"/>
      <c r="AE12" s="98" t="s">
        <v>191</v>
      </c>
      <c r="AF12" s="98"/>
      <c r="AG12" s="98"/>
      <c r="AH12" s="98"/>
      <c r="AI12" s="98"/>
      <c r="AJ12" s="98"/>
      <c r="AK12" s="98"/>
      <c r="AL12" s="98"/>
      <c r="AM12" s="98"/>
    </row>
    <row r="13" spans="1:55" ht="16" x14ac:dyDescent="0.2">
      <c r="A13" s="6" t="s">
        <v>151</v>
      </c>
      <c r="C13" s="6" t="s">
        <v>18</v>
      </c>
      <c r="D13" s="6">
        <f>D11*$W$27</f>
        <v>52.669732942655685</v>
      </c>
      <c r="E13" s="6">
        <f t="shared" ref="E13:I13" si="2">E11*$W$27</f>
        <v>237.92257181435824</v>
      </c>
      <c r="F13" s="6">
        <f t="shared" si="2"/>
        <v>201.78663726702334</v>
      </c>
      <c r="G13" s="6">
        <f t="shared" si="2"/>
        <v>172.60819000571968</v>
      </c>
      <c r="H13" s="6">
        <f t="shared" si="2"/>
        <v>201.64983918786049</v>
      </c>
      <c r="I13" s="6">
        <f t="shared" si="2"/>
        <v>251.25123728603126</v>
      </c>
      <c r="K13" s="18">
        <f t="shared" ref="K13" si="3">K12*390.87</f>
        <v>142.70663483681156</v>
      </c>
      <c r="L13" s="6">
        <f>L11*390.87</f>
        <v>1484.4069709682465</v>
      </c>
      <c r="M13" s="6" t="e">
        <f>M11*390.87</f>
        <v>#DIV/0!</v>
      </c>
      <c r="N13" s="6">
        <f>N11*390.87</f>
        <v>1486.3809357404709</v>
      </c>
      <c r="Y13" s="58"/>
      <c r="Z13" s="5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</row>
    <row r="14" spans="1:55" ht="16" x14ac:dyDescent="0.2">
      <c r="C14" s="6"/>
      <c r="K14" s="18"/>
      <c r="Y14" s="58"/>
      <c r="Z14" s="5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</row>
    <row r="15" spans="1:55" ht="16" x14ac:dyDescent="0.2">
      <c r="C15" s="6"/>
      <c r="Y15" s="58"/>
      <c r="Z15" s="58"/>
      <c r="AA15" s="98" t="s">
        <v>192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</row>
    <row r="16" spans="1:55" ht="16" x14ac:dyDescent="0.2">
      <c r="C16" s="3" t="s">
        <v>19</v>
      </c>
      <c r="D16" s="3">
        <v>5.8299999684095383E-2</v>
      </c>
      <c r="E16" s="3">
        <v>0.4715999960899353</v>
      </c>
      <c r="F16" s="3">
        <v>0.46579998731613159</v>
      </c>
      <c r="G16" s="3">
        <v>0.61769998073577881</v>
      </c>
      <c r="H16" s="3">
        <v>0.69120001792907715</v>
      </c>
      <c r="I16" s="3">
        <v>0.63370001316070557</v>
      </c>
      <c r="K16" s="6">
        <v>0.61440002918243408</v>
      </c>
      <c r="L16" s="13" t="s">
        <v>13</v>
      </c>
      <c r="M16" s="13" t="s">
        <v>13</v>
      </c>
      <c r="N16" s="6">
        <v>3.8650000095367432</v>
      </c>
      <c r="Y16" s="58"/>
      <c r="Z16" s="58"/>
      <c r="AA16" s="98" t="s">
        <v>21</v>
      </c>
      <c r="AB16" s="98"/>
      <c r="AC16" s="98"/>
      <c r="AD16" s="98"/>
      <c r="AE16" s="98" t="s">
        <v>22</v>
      </c>
      <c r="AF16" s="98"/>
      <c r="AG16" s="98"/>
      <c r="AH16" s="98"/>
      <c r="AI16" s="98"/>
      <c r="AJ16" s="98"/>
      <c r="AK16" s="98"/>
      <c r="AL16" s="98"/>
      <c r="AM16" s="98"/>
    </row>
    <row r="17" spans="3:50" ht="16" x14ac:dyDescent="0.2">
      <c r="C17" s="3" t="s">
        <v>20</v>
      </c>
      <c r="D17" s="3">
        <v>6.1700001358985901E-2</v>
      </c>
      <c r="E17" s="3">
        <v>0.50400000810623169</v>
      </c>
      <c r="F17" s="3">
        <v>0.45649999380111694</v>
      </c>
      <c r="G17" s="3">
        <v>0.59399998188018799</v>
      </c>
      <c r="H17" s="3">
        <v>0.61650002002716064</v>
      </c>
      <c r="I17" s="3">
        <v>0.6273999810218811</v>
      </c>
      <c r="K17" s="6">
        <v>0.19359999895095825</v>
      </c>
      <c r="L17" s="13" t="s">
        <v>13</v>
      </c>
      <c r="M17" s="13" t="s">
        <v>13</v>
      </c>
      <c r="N17" s="13" t="s">
        <v>13</v>
      </c>
      <c r="Y17" s="58"/>
      <c r="Z17" s="58"/>
      <c r="AA17" s="98" t="s">
        <v>23</v>
      </c>
      <c r="AB17" s="98"/>
      <c r="AC17" s="98"/>
      <c r="AD17" s="98"/>
      <c r="AE17" s="98">
        <v>450</v>
      </c>
      <c r="AF17" s="98" t="s">
        <v>24</v>
      </c>
      <c r="AG17" s="98"/>
      <c r="AH17" s="98"/>
      <c r="AI17" s="98"/>
      <c r="AJ17" s="98"/>
      <c r="AK17" s="98"/>
      <c r="AL17" s="98"/>
      <c r="AM17" s="98"/>
    </row>
    <row r="18" spans="3:50" ht="16" x14ac:dyDescent="0.2">
      <c r="C18" s="6" t="s">
        <v>12</v>
      </c>
      <c r="D18" s="6">
        <f>AVERAGE(D16:D17)</f>
        <v>6.0000000521540642E-2</v>
      </c>
      <c r="E18" s="6">
        <f t="shared" ref="E18:I18" si="4">AVERAGE(E16:E17)</f>
        <v>0.4878000020980835</v>
      </c>
      <c r="F18" s="6">
        <f t="shared" si="4"/>
        <v>0.46114999055862427</v>
      </c>
      <c r="G18" s="6">
        <f t="shared" si="4"/>
        <v>0.6058499813079834</v>
      </c>
      <c r="H18" s="6">
        <f t="shared" si="4"/>
        <v>0.6538500189781189</v>
      </c>
      <c r="I18" s="6">
        <f t="shared" si="4"/>
        <v>0.63054999709129333</v>
      </c>
      <c r="K18" s="6">
        <f t="shared" ref="K18:N18" si="5">AVERAGE(K16:K17)</f>
        <v>0.40400001406669617</v>
      </c>
      <c r="L18" s="6" t="e">
        <f t="shared" si="5"/>
        <v>#DIV/0!</v>
      </c>
      <c r="M18" s="6" t="e">
        <f t="shared" si="5"/>
        <v>#DIV/0!</v>
      </c>
      <c r="N18" s="6">
        <f t="shared" si="5"/>
        <v>3.8650000095367432</v>
      </c>
      <c r="Y18" s="58"/>
      <c r="Z18" s="58"/>
      <c r="AA18" s="98" t="s">
        <v>25</v>
      </c>
      <c r="AB18" s="98"/>
      <c r="AC18" s="98"/>
      <c r="AD18" s="98"/>
      <c r="AE18" s="98">
        <v>10</v>
      </c>
      <c r="AF18" s="98" t="s">
        <v>24</v>
      </c>
      <c r="AG18" s="98"/>
      <c r="AH18" s="98"/>
      <c r="AI18" s="98"/>
      <c r="AJ18" s="98"/>
      <c r="AK18" s="98"/>
      <c r="AL18" s="98"/>
      <c r="AM18" s="98"/>
    </row>
    <row r="19" spans="3:50" ht="16" x14ac:dyDescent="0.2">
      <c r="C19" s="6" t="s">
        <v>16</v>
      </c>
      <c r="D19" s="6">
        <f t="shared" ref="D19:I19" si="6">D18-$S$37</f>
        <v>2.4450000375509262E-2</v>
      </c>
      <c r="E19" s="6">
        <f t="shared" si="6"/>
        <v>0.45225000195205212</v>
      </c>
      <c r="F19" s="6">
        <f t="shared" si="6"/>
        <v>0.42559999041259289</v>
      </c>
      <c r="G19" s="6">
        <f t="shared" si="6"/>
        <v>0.57029998116195202</v>
      </c>
      <c r="H19" s="6">
        <f t="shared" si="6"/>
        <v>0.61830001883208752</v>
      </c>
      <c r="I19" s="6">
        <f t="shared" si="6"/>
        <v>0.59499999694526196</v>
      </c>
      <c r="K19" s="6">
        <f>K18-$S$37</f>
        <v>0.36845001392066479</v>
      </c>
      <c r="Y19" s="58"/>
      <c r="Z19" s="58"/>
      <c r="AA19" s="98" t="s">
        <v>26</v>
      </c>
      <c r="AB19" s="98"/>
      <c r="AC19" s="98"/>
      <c r="AD19" s="98"/>
      <c r="AE19" s="98">
        <v>570</v>
      </c>
      <c r="AF19" s="98" t="s">
        <v>24</v>
      </c>
      <c r="AG19" s="98"/>
      <c r="AH19" s="98"/>
      <c r="AI19" s="98"/>
      <c r="AJ19" s="98"/>
      <c r="AK19" s="98"/>
      <c r="AL19" s="98"/>
      <c r="AM19" s="98"/>
    </row>
    <row r="20" spans="3:50" ht="16" x14ac:dyDescent="0.2">
      <c r="C20" s="6" t="s">
        <v>18</v>
      </c>
      <c r="D20" s="6">
        <f>D18*$W$27</f>
        <v>23.452200203854591</v>
      </c>
      <c r="E20" s="6">
        <f t="shared" ref="E20:I20" si="7">E18*$W$27</f>
        <v>190.66638682007789</v>
      </c>
      <c r="F20" s="6">
        <f t="shared" si="7"/>
        <v>180.24969680964946</v>
      </c>
      <c r="G20" s="6">
        <f t="shared" si="7"/>
        <v>236.80858219385146</v>
      </c>
      <c r="H20" s="6">
        <f t="shared" si="7"/>
        <v>255.57035691797734</v>
      </c>
      <c r="I20" s="6">
        <f t="shared" si="7"/>
        <v>246.46307736307384</v>
      </c>
      <c r="K20" s="18">
        <f t="shared" ref="K20" si="8">K19*390.87</f>
        <v>144.01605694117023</v>
      </c>
      <c r="L20" s="6" t="e">
        <f>L18*390.87</f>
        <v>#DIV/0!</v>
      </c>
      <c r="M20" s="6" t="e">
        <f>M18*390.87</f>
        <v>#DIV/0!</v>
      </c>
      <c r="N20" s="6">
        <f>N18*390.87</f>
        <v>1510.7125537276268</v>
      </c>
      <c r="Y20" s="58"/>
      <c r="Z20" s="58"/>
      <c r="AA20" s="98" t="s">
        <v>25</v>
      </c>
      <c r="AB20" s="98"/>
      <c r="AC20" s="98"/>
      <c r="AD20" s="98"/>
      <c r="AE20" s="98">
        <v>10</v>
      </c>
      <c r="AF20" s="98" t="s">
        <v>24</v>
      </c>
      <c r="AG20" s="98"/>
      <c r="AH20" s="98"/>
      <c r="AI20" s="98"/>
      <c r="AJ20" s="98"/>
      <c r="AK20" s="98"/>
      <c r="AL20" s="98"/>
      <c r="AM20" s="98"/>
    </row>
    <row r="21" spans="3:50" ht="16" x14ac:dyDescent="0.2">
      <c r="C21" s="6"/>
      <c r="K21" s="18"/>
      <c r="Y21" s="58"/>
      <c r="Z21" s="58"/>
      <c r="AA21" s="98" t="s">
        <v>28</v>
      </c>
      <c r="AB21" s="98"/>
      <c r="AC21" s="98"/>
      <c r="AD21" s="98"/>
      <c r="AE21" s="98">
        <v>25</v>
      </c>
      <c r="AF21" s="98"/>
      <c r="AG21" s="98"/>
      <c r="AH21" s="98"/>
      <c r="AI21" s="98"/>
      <c r="AJ21" s="98"/>
      <c r="AK21" s="98"/>
      <c r="AL21" s="98"/>
      <c r="AM21" s="98"/>
    </row>
    <row r="22" spans="3:50" ht="16" x14ac:dyDescent="0.2">
      <c r="C22" s="6"/>
      <c r="Y22" s="58"/>
      <c r="Z22" s="58"/>
      <c r="AA22" s="98" t="s">
        <v>30</v>
      </c>
      <c r="AB22" s="98"/>
      <c r="AC22" s="98"/>
      <c r="AD22" s="98"/>
      <c r="AE22" s="98">
        <v>0</v>
      </c>
      <c r="AF22" s="98" t="s">
        <v>31</v>
      </c>
      <c r="AG22" s="98"/>
      <c r="AH22" s="98"/>
      <c r="AI22" s="98"/>
      <c r="AJ22" s="98"/>
      <c r="AK22" s="98"/>
      <c r="AL22" s="98"/>
      <c r="AM22" s="98"/>
    </row>
    <row r="23" spans="3:50" ht="16" x14ac:dyDescent="0.2">
      <c r="C23" s="3" t="s">
        <v>27</v>
      </c>
      <c r="D23" s="3">
        <v>0.10790000110864639</v>
      </c>
      <c r="E23" s="3">
        <v>0.51810002326965332</v>
      </c>
      <c r="F23" s="3">
        <v>0.57109999656677246</v>
      </c>
      <c r="G23" s="3">
        <v>0.75709998607635498</v>
      </c>
      <c r="H23" s="3">
        <v>0.46059998869895935</v>
      </c>
      <c r="I23" s="3">
        <v>0.59859997034072876</v>
      </c>
      <c r="K23" s="6">
        <v>0.12099999934434891</v>
      </c>
      <c r="L23" s="6">
        <v>3.9198000431060791</v>
      </c>
      <c r="M23" s="13" t="s">
        <v>13</v>
      </c>
      <c r="N23" s="6">
        <v>3.5682001113891602</v>
      </c>
      <c r="Y23" s="58"/>
      <c r="Z23" s="58"/>
      <c r="AA23" s="98" t="s">
        <v>32</v>
      </c>
      <c r="AB23" s="100">
        <v>43021.783449074072</v>
      </c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</row>
    <row r="24" spans="3:50" ht="16" x14ac:dyDescent="0.2">
      <c r="C24" s="3" t="s">
        <v>29</v>
      </c>
      <c r="D24" s="3">
        <v>3.9400000125169754E-2</v>
      </c>
      <c r="E24" s="3">
        <v>0.54269999265670776</v>
      </c>
      <c r="F24" s="3">
        <v>0.61989998817443848</v>
      </c>
      <c r="G24" s="3">
        <v>0.54570001363754272</v>
      </c>
      <c r="H24" s="3">
        <v>0.48330000042915344</v>
      </c>
      <c r="I24" s="3">
        <v>0.46500000357627869</v>
      </c>
      <c r="K24" s="6">
        <v>8.5400000214576721E-2</v>
      </c>
      <c r="L24" s="6">
        <v>3.7279999256134033</v>
      </c>
      <c r="M24" s="13" t="s">
        <v>13</v>
      </c>
      <c r="N24" s="6">
        <v>3.3513000011444092</v>
      </c>
      <c r="Y24" s="58"/>
      <c r="Z24" s="5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T24" s="117"/>
      <c r="AU24" s="117"/>
      <c r="AV24" s="3"/>
      <c r="AW24" s="3"/>
      <c r="AX24" s="3"/>
    </row>
    <row r="25" spans="3:50" ht="16" x14ac:dyDescent="0.2">
      <c r="C25" s="6" t="s">
        <v>12</v>
      </c>
      <c r="D25" s="6">
        <f>AVERAGE(D23:D24)</f>
        <v>7.3650000616908073E-2</v>
      </c>
      <c r="E25" s="6">
        <f t="shared" ref="E25:I25" si="9">AVERAGE(E23:E24)</f>
        <v>0.53040000796318054</v>
      </c>
      <c r="F25" s="6">
        <f t="shared" si="9"/>
        <v>0.59549999237060547</v>
      </c>
      <c r="G25" s="6">
        <f t="shared" si="9"/>
        <v>0.65139999985694885</v>
      </c>
      <c r="H25" s="6">
        <f t="shared" si="9"/>
        <v>0.4719499945640564</v>
      </c>
      <c r="I25" s="6">
        <f t="shared" si="9"/>
        <v>0.53179998695850372</v>
      </c>
      <c r="K25" s="6">
        <f t="shared" ref="K25:N25" si="10">AVERAGE(K23:K24)</f>
        <v>0.10319999977946281</v>
      </c>
      <c r="L25" s="6">
        <f t="shared" si="10"/>
        <v>3.8238999843597412</v>
      </c>
      <c r="M25" s="6" t="e">
        <f t="shared" si="10"/>
        <v>#DIV/0!</v>
      </c>
      <c r="N25" s="6">
        <f t="shared" si="10"/>
        <v>3.4597500562667847</v>
      </c>
      <c r="Y25" s="58"/>
      <c r="Z25" s="58"/>
      <c r="AA25" s="98"/>
      <c r="AB25" s="98" t="s">
        <v>34</v>
      </c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</row>
    <row r="26" spans="3:50" ht="16" x14ac:dyDescent="0.2">
      <c r="C26" s="6" t="s">
        <v>16</v>
      </c>
      <c r="D26" s="6">
        <f t="shared" ref="D26:I26" si="11">D25-$S$37</f>
        <v>3.8100000470876694E-2</v>
      </c>
      <c r="E26" s="6">
        <f t="shared" si="11"/>
        <v>0.49485000781714916</v>
      </c>
      <c r="F26" s="6">
        <f t="shared" si="11"/>
        <v>0.55994999222457409</v>
      </c>
      <c r="G26" s="6">
        <f t="shared" si="11"/>
        <v>0.61584999971091747</v>
      </c>
      <c r="H26" s="6">
        <f t="shared" si="11"/>
        <v>0.43639999441802502</v>
      </c>
      <c r="I26" s="6">
        <f t="shared" si="11"/>
        <v>0.49624998681247234</v>
      </c>
      <c r="K26" s="6">
        <f>K25-$S$37</f>
        <v>6.7649999633431435E-2</v>
      </c>
      <c r="Q26" s="53" t="s">
        <v>33</v>
      </c>
      <c r="R26" s="53"/>
      <c r="S26" s="3" t="s">
        <v>12</v>
      </c>
      <c r="T26" s="3" t="s">
        <v>33</v>
      </c>
      <c r="U26" s="3" t="s">
        <v>18</v>
      </c>
      <c r="V26" s="6" t="s">
        <v>163</v>
      </c>
      <c r="W26" s="62" t="s">
        <v>64</v>
      </c>
      <c r="X26" s="62" t="s">
        <v>65</v>
      </c>
      <c r="Y26" s="58"/>
      <c r="Z26" s="58"/>
      <c r="AA26" s="98" t="s">
        <v>35</v>
      </c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</row>
    <row r="27" spans="3:50" ht="16" x14ac:dyDescent="0.2">
      <c r="C27" s="6" t="s">
        <v>18</v>
      </c>
      <c r="D27" s="6">
        <f>D25*$W$27</f>
        <v>28.787575741130858</v>
      </c>
      <c r="E27" s="6">
        <f t="shared" ref="E27:I27" si="12">E25*$W$27</f>
        <v>207.31745111256839</v>
      </c>
      <c r="F27" s="6">
        <f t="shared" si="12"/>
        <v>232.76308201789857</v>
      </c>
      <c r="G27" s="6">
        <f t="shared" si="12"/>
        <v>254.6127179440856</v>
      </c>
      <c r="H27" s="6">
        <f t="shared" si="12"/>
        <v>184.47109437525273</v>
      </c>
      <c r="I27" s="6">
        <f t="shared" si="12"/>
        <v>207.86466090247035</v>
      </c>
      <c r="K27" s="18">
        <f t="shared" ref="K27" si="13">K26*390.87</f>
        <v>26.442355356719347</v>
      </c>
      <c r="L27" s="6">
        <f>L25*390.87</f>
        <v>1494.6477868866921</v>
      </c>
      <c r="M27" s="6" t="e">
        <f>M25*390.87</f>
        <v>#DIV/0!</v>
      </c>
      <c r="N27" s="6">
        <f>N25*390.87</f>
        <v>1352.3125044929982</v>
      </c>
      <c r="Q27" s="3">
        <v>2.5113999843597412</v>
      </c>
      <c r="R27" s="3">
        <v>2.4676001071929932</v>
      </c>
      <c r="S27" s="3">
        <f>AVERAGE(Q27:R27)</f>
        <v>2.4895000457763672</v>
      </c>
      <c r="T27" s="3">
        <f>S27-$S$37</f>
        <v>2.4539500456303358</v>
      </c>
      <c r="U27" s="3">
        <v>1000</v>
      </c>
      <c r="V27" s="6">
        <v>3.5549999999999998E-2</v>
      </c>
      <c r="W27" s="62">
        <v>390.87</v>
      </c>
      <c r="X27" s="62">
        <v>0.99050000000000005</v>
      </c>
      <c r="Y27" s="58"/>
      <c r="Z27" s="58"/>
      <c r="AA27" s="98" t="s">
        <v>37</v>
      </c>
      <c r="AB27" s="98">
        <v>1</v>
      </c>
      <c r="AC27" s="98">
        <v>2</v>
      </c>
      <c r="AD27" s="98">
        <v>3</v>
      </c>
      <c r="AE27" s="98">
        <v>4</v>
      </c>
      <c r="AF27" s="98">
        <v>5</v>
      </c>
      <c r="AG27" s="98">
        <v>6</v>
      </c>
      <c r="AH27" s="98">
        <v>7</v>
      </c>
      <c r="AI27" s="98">
        <v>8</v>
      </c>
      <c r="AJ27" s="98">
        <v>9</v>
      </c>
      <c r="AK27" s="98">
        <v>10</v>
      </c>
      <c r="AL27" s="98">
        <v>11</v>
      </c>
      <c r="AM27" s="98">
        <v>12</v>
      </c>
    </row>
    <row r="28" spans="3:50" ht="16" x14ac:dyDescent="0.2">
      <c r="C28" s="6"/>
      <c r="K28" s="18"/>
      <c r="Q28" s="3"/>
      <c r="R28" s="3"/>
      <c r="S28" s="3"/>
      <c r="T28" s="3"/>
      <c r="U28" s="3"/>
      <c r="W28" s="62"/>
      <c r="X28" s="62"/>
      <c r="Y28" s="58"/>
      <c r="Z28" s="58"/>
      <c r="AA28" s="98" t="s">
        <v>39</v>
      </c>
      <c r="AB28" s="98">
        <v>0.15340000000000001</v>
      </c>
      <c r="AC28" s="98">
        <v>0.64680000000000004</v>
      </c>
      <c r="AD28" s="98">
        <v>0.51380000000000003</v>
      </c>
      <c r="AE28" s="98">
        <v>0.50739999999999996</v>
      </c>
      <c r="AF28" s="98">
        <v>0.55869999999999997</v>
      </c>
      <c r="AG28" s="98">
        <v>0.68759999999999999</v>
      </c>
      <c r="AH28" s="98">
        <v>0.3674</v>
      </c>
      <c r="AI28" s="98">
        <v>3.8801999999999999</v>
      </c>
      <c r="AJ28" s="98" t="s">
        <v>13</v>
      </c>
      <c r="AK28" s="98">
        <v>3.7967</v>
      </c>
      <c r="AL28" s="98">
        <v>2.5594000000000001</v>
      </c>
      <c r="AM28" s="98">
        <v>2.5141</v>
      </c>
    </row>
    <row r="29" spans="3:50" ht="16" x14ac:dyDescent="0.2">
      <c r="C29" s="6"/>
      <c r="Q29" s="3">
        <v>1.5042999982833862</v>
      </c>
      <c r="R29" s="3">
        <v>1.2826000452041626</v>
      </c>
      <c r="S29" s="3">
        <f t="shared" ref="S29:S37" si="14">AVERAGE(Q29:R29)</f>
        <v>1.3934500217437744</v>
      </c>
      <c r="T29" s="3">
        <f t="shared" ref="T29:T34" si="15">S29-$S$37</f>
        <v>1.357900021597743</v>
      </c>
      <c r="U29" s="3">
        <v>500</v>
      </c>
      <c r="Y29" s="58"/>
      <c r="Z29" s="58"/>
      <c r="AA29" s="98" t="s">
        <v>40</v>
      </c>
      <c r="AB29" s="98">
        <v>0.19370000000000001</v>
      </c>
      <c r="AC29" s="98">
        <v>0.65249999999999997</v>
      </c>
      <c r="AD29" s="98">
        <v>0.59899999999999998</v>
      </c>
      <c r="AE29" s="98">
        <v>0.45519999999999999</v>
      </c>
      <c r="AF29" s="98">
        <v>0.55279999999999996</v>
      </c>
      <c r="AG29" s="98">
        <v>0.68610000000000004</v>
      </c>
      <c r="AH29" s="98">
        <v>0.51290000000000002</v>
      </c>
      <c r="AI29" s="98">
        <v>3.8334000000000001</v>
      </c>
      <c r="AJ29" s="98" t="s">
        <v>13</v>
      </c>
      <c r="AK29" s="98">
        <v>3.9241999999999999</v>
      </c>
      <c r="AL29" s="98">
        <v>1.5479000000000001</v>
      </c>
      <c r="AM29" s="98">
        <v>1.325</v>
      </c>
    </row>
    <row r="30" spans="3:50" ht="16" x14ac:dyDescent="0.2">
      <c r="C30" s="3" t="s">
        <v>36</v>
      </c>
      <c r="D30" s="3">
        <v>5.6400001049041748E-2</v>
      </c>
      <c r="E30" s="3">
        <v>0.46000000834465027</v>
      </c>
      <c r="F30" s="3">
        <v>0.60930001735687256</v>
      </c>
      <c r="G30" s="3">
        <v>0.46369999647140503</v>
      </c>
      <c r="H30" s="3">
        <v>0.42109999060630798</v>
      </c>
      <c r="I30" s="3">
        <v>0.39079999923706055</v>
      </c>
      <c r="K30" s="6">
        <v>5.820000171661377E-2</v>
      </c>
      <c r="L30" s="6">
        <v>3.8905000686645508</v>
      </c>
      <c r="M30" s="13" t="s">
        <v>13</v>
      </c>
      <c r="N30" s="6">
        <v>3.6101000308990479</v>
      </c>
      <c r="Q30" s="3">
        <v>0.80529999732971191</v>
      </c>
      <c r="R30" s="3">
        <v>0.70920002460479736</v>
      </c>
      <c r="S30" s="3">
        <f t="shared" si="14"/>
        <v>0.75725001096725464</v>
      </c>
      <c r="T30" s="3">
        <f t="shared" si="15"/>
        <v>0.72170001082122326</v>
      </c>
      <c r="U30" s="3">
        <v>250</v>
      </c>
      <c r="Y30" s="58"/>
      <c r="Z30" s="58"/>
      <c r="AA30" s="98" t="s">
        <v>41</v>
      </c>
      <c r="AB30" s="98">
        <v>9.6600000000000005E-2</v>
      </c>
      <c r="AC30" s="98">
        <v>0.53139999999999998</v>
      </c>
      <c r="AD30" s="98">
        <v>0.50619999999999998</v>
      </c>
      <c r="AE30" s="98">
        <v>0.65869999999999995</v>
      </c>
      <c r="AF30" s="98">
        <v>0.73399999999999999</v>
      </c>
      <c r="AG30" s="98">
        <v>0.67549999999999999</v>
      </c>
      <c r="AH30" s="98">
        <v>0.65610000000000002</v>
      </c>
      <c r="AI30" s="98" t="s">
        <v>13</v>
      </c>
      <c r="AJ30" s="98" t="s">
        <v>13</v>
      </c>
      <c r="AK30" s="98">
        <v>3.9257</v>
      </c>
      <c r="AL30" s="98">
        <v>0.84830000000000005</v>
      </c>
      <c r="AM30" s="98">
        <v>0.74960000000000004</v>
      </c>
    </row>
    <row r="31" spans="3:50" ht="16" x14ac:dyDescent="0.2">
      <c r="C31" s="3" t="s">
        <v>38</v>
      </c>
      <c r="D31" s="3">
        <v>4.1499998420476913E-2</v>
      </c>
      <c r="E31" s="3">
        <v>0.39309999346733093</v>
      </c>
      <c r="F31" s="3">
        <v>0.38809999823570251</v>
      </c>
      <c r="G31" s="3">
        <v>0.36539998650550842</v>
      </c>
      <c r="H31" s="3">
        <v>0.3781999945640564</v>
      </c>
      <c r="I31" s="3">
        <v>0.36129999160766602</v>
      </c>
      <c r="K31" s="6">
        <v>3.5399999469518661E-2</v>
      </c>
      <c r="L31" s="6">
        <v>3.6466000080108643</v>
      </c>
      <c r="M31" s="6">
        <v>3.7165000438690186</v>
      </c>
      <c r="N31" s="6">
        <v>3.3313999176025391</v>
      </c>
      <c r="Q31" s="3">
        <v>0.57179999351501465</v>
      </c>
      <c r="R31" s="3">
        <v>0.45089998841285706</v>
      </c>
      <c r="S31" s="3">
        <f t="shared" si="14"/>
        <v>0.51134999096393585</v>
      </c>
      <c r="T31" s="3">
        <f t="shared" si="15"/>
        <v>0.47579999081790447</v>
      </c>
      <c r="U31" s="3">
        <v>125</v>
      </c>
      <c r="Y31" s="58"/>
      <c r="Z31" s="58"/>
      <c r="AA31" s="98" t="s">
        <v>42</v>
      </c>
      <c r="AB31" s="98">
        <v>0.1003</v>
      </c>
      <c r="AC31" s="98">
        <v>0.54349999999999998</v>
      </c>
      <c r="AD31" s="98">
        <v>0.49659999999999999</v>
      </c>
      <c r="AE31" s="98">
        <v>0.63349999999999995</v>
      </c>
      <c r="AF31" s="98">
        <v>0.65759999999999996</v>
      </c>
      <c r="AG31" s="98">
        <v>0.66720000000000002</v>
      </c>
      <c r="AH31" s="98">
        <v>0.2354</v>
      </c>
      <c r="AI31" s="98" t="s">
        <v>13</v>
      </c>
      <c r="AJ31" s="98" t="s">
        <v>13</v>
      </c>
      <c r="AK31" s="98" t="s">
        <v>13</v>
      </c>
      <c r="AL31" s="98">
        <v>0.61329999999999996</v>
      </c>
      <c r="AM31" s="98">
        <v>0.49080000000000001</v>
      </c>
    </row>
    <row r="32" spans="3:50" ht="16" x14ac:dyDescent="0.2">
      <c r="C32" s="6" t="s">
        <v>12</v>
      </c>
      <c r="D32" s="6">
        <f>AVERAGE(D30:D31)</f>
        <v>4.8949999734759331E-2</v>
      </c>
      <c r="E32" s="6">
        <f t="shared" ref="E32:I32" si="16">AVERAGE(E30:E31)</f>
        <v>0.4265500009059906</v>
      </c>
      <c r="F32" s="6">
        <f t="shared" si="16"/>
        <v>0.49870000779628754</v>
      </c>
      <c r="G32" s="6">
        <f t="shared" si="16"/>
        <v>0.41454999148845673</v>
      </c>
      <c r="H32" s="6">
        <f t="shared" si="16"/>
        <v>0.39964999258518219</v>
      </c>
      <c r="I32" s="6">
        <f t="shared" si="16"/>
        <v>0.37604999542236328</v>
      </c>
      <c r="K32" s="6">
        <f t="shared" ref="K32:N32" si="17">AVERAGE(K30:K31)</f>
        <v>4.6800000593066216E-2</v>
      </c>
      <c r="L32" s="6">
        <f t="shared" si="17"/>
        <v>3.7685500383377075</v>
      </c>
      <c r="M32" s="6">
        <f t="shared" si="17"/>
        <v>3.7165000438690186</v>
      </c>
      <c r="N32" s="6">
        <f t="shared" si="17"/>
        <v>3.4707499742507935</v>
      </c>
      <c r="Q32" s="3">
        <v>0.30079999566078186</v>
      </c>
      <c r="R32" s="3">
        <v>0.2085999995470047</v>
      </c>
      <c r="S32" s="3">
        <f t="shared" si="14"/>
        <v>0.25469999760389328</v>
      </c>
      <c r="T32" s="3">
        <f t="shared" si="15"/>
        <v>0.2191499974578619</v>
      </c>
      <c r="U32" s="3">
        <v>62.5</v>
      </c>
      <c r="Y32" s="58"/>
      <c r="Z32" s="58"/>
      <c r="AA32" s="98" t="s">
        <v>43</v>
      </c>
      <c r="AB32" s="98">
        <v>0.14799999999999999</v>
      </c>
      <c r="AC32" s="98">
        <v>0.55989999999999995</v>
      </c>
      <c r="AD32" s="98">
        <v>0.61170000000000002</v>
      </c>
      <c r="AE32" s="98">
        <v>0.79969999999999997</v>
      </c>
      <c r="AF32" s="98">
        <v>0.50849999999999995</v>
      </c>
      <c r="AG32" s="98">
        <v>0.63849999999999996</v>
      </c>
      <c r="AH32" s="98">
        <v>0.1593</v>
      </c>
      <c r="AI32" s="98">
        <v>3.9809999999999999</v>
      </c>
      <c r="AJ32" s="98" t="s">
        <v>13</v>
      </c>
      <c r="AK32" s="98">
        <v>3.6541999999999999</v>
      </c>
      <c r="AL32" s="98">
        <v>0.33929999999999999</v>
      </c>
      <c r="AM32" s="98">
        <v>0.24740000000000001</v>
      </c>
    </row>
    <row r="33" spans="1:39" ht="16" x14ac:dyDescent="0.2">
      <c r="C33" s="6" t="s">
        <v>16</v>
      </c>
      <c r="D33" s="6">
        <f t="shared" ref="D33:I33" si="18">D32-$S$37</f>
        <v>1.3399999588727951E-2</v>
      </c>
      <c r="E33" s="6">
        <f t="shared" si="18"/>
        <v>0.39100000075995922</v>
      </c>
      <c r="F33" s="6">
        <f t="shared" si="18"/>
        <v>0.46315000765025616</v>
      </c>
      <c r="G33" s="6">
        <f t="shared" si="18"/>
        <v>0.37899999134242535</v>
      </c>
      <c r="H33" s="6">
        <f t="shared" si="18"/>
        <v>0.36409999243915081</v>
      </c>
      <c r="I33" s="6">
        <f t="shared" si="18"/>
        <v>0.3404999952763319</v>
      </c>
      <c r="K33" s="6">
        <f>K32-$S$37</f>
        <v>1.1250000447034836E-2</v>
      </c>
      <c r="Q33" s="3">
        <v>0.13230000436306</v>
      </c>
      <c r="R33" s="3">
        <v>0.13160000741481781</v>
      </c>
      <c r="S33" s="3">
        <f t="shared" si="14"/>
        <v>0.1319500058889389</v>
      </c>
      <c r="T33" s="3">
        <f t="shared" si="15"/>
        <v>9.6400005742907524E-2</v>
      </c>
      <c r="U33" s="3">
        <v>31.25</v>
      </c>
      <c r="Y33" s="58"/>
      <c r="Z33" s="58"/>
      <c r="AA33" s="98" t="s">
        <v>44</v>
      </c>
      <c r="AB33" s="98">
        <v>7.8100000000000003E-2</v>
      </c>
      <c r="AC33" s="98">
        <v>0.58299999999999996</v>
      </c>
      <c r="AD33" s="98">
        <v>0.66249999999999998</v>
      </c>
      <c r="AE33" s="98">
        <v>0.58499999999999996</v>
      </c>
      <c r="AF33" s="98">
        <v>0.53059999999999996</v>
      </c>
      <c r="AG33" s="98">
        <v>0.50419999999999998</v>
      </c>
      <c r="AH33" s="98">
        <v>0.12429999999999999</v>
      </c>
      <c r="AI33" s="98">
        <v>3.8304</v>
      </c>
      <c r="AJ33" s="98" t="s">
        <v>13</v>
      </c>
      <c r="AK33" s="98">
        <v>3.4083999999999999</v>
      </c>
      <c r="AL33" s="98">
        <v>0.17100000000000001</v>
      </c>
      <c r="AM33" s="98">
        <v>0.1699</v>
      </c>
    </row>
    <row r="34" spans="1:39" ht="16" x14ac:dyDescent="0.2">
      <c r="C34" s="6" t="s">
        <v>18</v>
      </c>
      <c r="D34" s="6">
        <f>D32*$W$27</f>
        <v>19.133086396325378</v>
      </c>
      <c r="E34" s="6">
        <f t="shared" ref="E34:I34" si="19">E32*$W$27</f>
        <v>166.72559885412454</v>
      </c>
      <c r="F34" s="6">
        <f t="shared" si="19"/>
        <v>194.92687204733491</v>
      </c>
      <c r="G34" s="6">
        <f t="shared" si="19"/>
        <v>162.03515517309307</v>
      </c>
      <c r="H34" s="6">
        <f t="shared" si="19"/>
        <v>156.21119260177016</v>
      </c>
      <c r="I34" s="6">
        <f t="shared" si="19"/>
        <v>146.98666171073913</v>
      </c>
      <c r="K34" s="18">
        <f t="shared" ref="K34" si="20">K33*390.87</f>
        <v>4.3972876747325067</v>
      </c>
      <c r="L34" s="6">
        <f>L32*390.87</f>
        <v>1473.0131534850598</v>
      </c>
      <c r="M34" s="6">
        <f>M32*390.87</f>
        <v>1452.6683721470833</v>
      </c>
      <c r="N34" s="6">
        <f>N32*390.87</f>
        <v>1356.6120424354076</v>
      </c>
      <c r="Q34" s="3">
        <v>0.11010000109672546</v>
      </c>
      <c r="R34" s="3">
        <v>8.6699999868869781E-2</v>
      </c>
      <c r="S34" s="3">
        <f t="shared" si="14"/>
        <v>9.8400000482797623E-2</v>
      </c>
      <c r="T34" s="3">
        <f t="shared" si="15"/>
        <v>6.2850000336766243E-2</v>
      </c>
      <c r="U34" s="3">
        <v>15.625</v>
      </c>
      <c r="Y34" s="58"/>
      <c r="Z34" s="58"/>
      <c r="AA34" s="98" t="s">
        <v>45</v>
      </c>
      <c r="AB34" s="98">
        <v>9.9199999999999997E-2</v>
      </c>
      <c r="AC34" s="98">
        <v>0.50070000000000003</v>
      </c>
      <c r="AD34" s="98">
        <v>0.65269999999999995</v>
      </c>
      <c r="AE34" s="98">
        <v>0.50309999999999999</v>
      </c>
      <c r="AF34" s="98">
        <v>0.4617</v>
      </c>
      <c r="AG34" s="98">
        <v>0.43009999999999998</v>
      </c>
      <c r="AH34" s="98">
        <v>0.10299999999999999</v>
      </c>
      <c r="AI34" s="98">
        <v>3.9500999999999999</v>
      </c>
      <c r="AJ34" s="98" t="s">
        <v>13</v>
      </c>
      <c r="AK34" s="98">
        <v>3.6631999999999998</v>
      </c>
      <c r="AL34" s="98">
        <v>0.14779999999999999</v>
      </c>
      <c r="AM34" s="98">
        <v>0.12470000000000001</v>
      </c>
    </row>
    <row r="35" spans="1:39" ht="16" x14ac:dyDescent="0.2">
      <c r="C35" s="6"/>
      <c r="K35" s="18"/>
      <c r="Q35" s="3"/>
      <c r="R35" s="3"/>
      <c r="S35" s="3"/>
      <c r="T35" s="3"/>
      <c r="U35" s="3"/>
      <c r="Y35" s="58"/>
      <c r="Z35" s="58"/>
      <c r="AA35" s="98" t="s">
        <v>46</v>
      </c>
      <c r="AB35" s="98">
        <v>7.9699999999999993E-2</v>
      </c>
      <c r="AC35" s="98">
        <v>0.43309999999999998</v>
      </c>
      <c r="AD35" s="98">
        <v>0.42730000000000001</v>
      </c>
      <c r="AE35" s="98">
        <v>0.40479999999999999</v>
      </c>
      <c r="AF35" s="98">
        <v>0.41849999999999998</v>
      </c>
      <c r="AG35" s="98">
        <v>0.40100000000000002</v>
      </c>
      <c r="AH35" s="98">
        <v>7.4700000000000003E-2</v>
      </c>
      <c r="AI35" s="98">
        <v>3.7115999999999998</v>
      </c>
      <c r="AJ35" s="98">
        <v>3.7816999999999998</v>
      </c>
      <c r="AK35" s="98">
        <v>3.3866000000000001</v>
      </c>
      <c r="AL35" s="98">
        <v>7.7899999999999997E-2</v>
      </c>
      <c r="AM35" s="98">
        <v>6.8500000000000005E-2</v>
      </c>
    </row>
    <row r="36" spans="1:39" ht="16" x14ac:dyDescent="0.2">
      <c r="C36" s="6"/>
      <c r="K36" s="18"/>
      <c r="Q36" s="3"/>
      <c r="R36" s="3"/>
      <c r="S36" s="3"/>
      <c r="T36" s="3"/>
      <c r="U36" s="3"/>
      <c r="Y36" s="58"/>
      <c r="Z36" s="5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</row>
    <row r="37" spans="1:39" ht="16" x14ac:dyDescent="0.2">
      <c r="A37" s="6" t="s">
        <v>166</v>
      </c>
      <c r="C37" s="6"/>
      <c r="D37" s="3" t="s">
        <v>75</v>
      </c>
      <c r="E37" s="3" t="s">
        <v>153</v>
      </c>
      <c r="F37" s="3" t="str">
        <f>I5</f>
        <v>INFg+Pam</v>
      </c>
      <c r="G37" s="3" t="str">
        <f>H5</f>
        <v>INFg+Pam</v>
      </c>
      <c r="H37" s="3" t="str">
        <f>G5</f>
        <v>INFg+Pam</v>
      </c>
      <c r="I37" s="3" t="str">
        <f>F5</f>
        <v>INFg+Pam</v>
      </c>
      <c r="Q37" s="3">
        <v>4.010000079870224E-2</v>
      </c>
      <c r="R37" s="3">
        <v>3.0999999493360519E-2</v>
      </c>
      <c r="S37" s="3">
        <f t="shared" si="14"/>
        <v>3.555000014603138E-2</v>
      </c>
      <c r="T37" s="3">
        <f>S37-$S$37</f>
        <v>0</v>
      </c>
      <c r="U37" s="3">
        <v>0</v>
      </c>
      <c r="AA37" s="98" t="s">
        <v>47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</row>
    <row r="38" spans="1:39" ht="16" x14ac:dyDescent="0.2">
      <c r="D38" s="3"/>
      <c r="E38" s="3"/>
      <c r="F38" s="3" t="str">
        <f>I6</f>
        <v>gp120</v>
      </c>
      <c r="G38" s="3" t="str">
        <f>H6</f>
        <v>ssRNA</v>
      </c>
      <c r="H38" s="3" t="str">
        <f>G6</f>
        <v>HBsAg</v>
      </c>
      <c r="I38" s="3" t="str">
        <f>F6</f>
        <v>HBcAg</v>
      </c>
      <c r="AA38" s="98" t="s">
        <v>37</v>
      </c>
      <c r="AB38" s="98">
        <v>1</v>
      </c>
      <c r="AC38" s="98">
        <v>2</v>
      </c>
      <c r="AD38" s="98">
        <v>3</v>
      </c>
      <c r="AE38" s="98">
        <v>4</v>
      </c>
      <c r="AF38" s="98">
        <v>5</v>
      </c>
      <c r="AG38" s="98">
        <v>6</v>
      </c>
      <c r="AH38" s="98">
        <v>7</v>
      </c>
      <c r="AI38" s="98">
        <v>8</v>
      </c>
      <c r="AJ38" s="98">
        <v>9</v>
      </c>
      <c r="AK38" s="98">
        <v>10</v>
      </c>
      <c r="AL38" s="98">
        <v>11</v>
      </c>
      <c r="AM38" s="98">
        <v>12</v>
      </c>
    </row>
    <row r="39" spans="1:39" ht="32" x14ac:dyDescent="0.2">
      <c r="A39" s="5" t="s">
        <v>155</v>
      </c>
      <c r="B39" s="5"/>
      <c r="C39" s="6" t="s">
        <v>84</v>
      </c>
      <c r="D39" s="6">
        <f>$D13*1.1</f>
        <v>57.93670623692126</v>
      </c>
      <c r="E39" s="6">
        <f>$E13*1.1</f>
        <v>261.71482899579411</v>
      </c>
      <c r="F39" s="6">
        <f>$I13*1.1</f>
        <v>276.37636101463443</v>
      </c>
      <c r="G39" s="6">
        <f>$H13*1.1</f>
        <v>221.81482310664657</v>
      </c>
      <c r="H39" s="6">
        <f>$G13*1.1</f>
        <v>189.86900900629166</v>
      </c>
      <c r="I39" s="6">
        <f>F13*1.1</f>
        <v>221.96530099372569</v>
      </c>
      <c r="AA39" s="98" t="s">
        <v>39</v>
      </c>
      <c r="AB39" s="98">
        <v>3.9E-2</v>
      </c>
      <c r="AC39" s="98">
        <v>4.1700000000000001E-2</v>
      </c>
      <c r="AD39" s="98">
        <v>4.0500000000000001E-2</v>
      </c>
      <c r="AE39" s="98">
        <v>4.02E-2</v>
      </c>
      <c r="AF39" s="98">
        <v>0.04</v>
      </c>
      <c r="AG39" s="98">
        <v>4.24E-2</v>
      </c>
      <c r="AH39" s="98">
        <v>3.9100000000000003E-2</v>
      </c>
      <c r="AI39" s="98">
        <v>5.7799999999999997E-2</v>
      </c>
      <c r="AJ39" s="98">
        <v>5.7700000000000001E-2</v>
      </c>
      <c r="AK39" s="98">
        <v>5.6000000000000001E-2</v>
      </c>
      <c r="AL39" s="98">
        <v>4.8000000000000001E-2</v>
      </c>
      <c r="AM39" s="98">
        <v>4.65E-2</v>
      </c>
    </row>
    <row r="40" spans="1:39" ht="16" x14ac:dyDescent="0.2">
      <c r="C40" s="6" t="s">
        <v>85</v>
      </c>
      <c r="D40" s="6">
        <f>$D$20*1.1</f>
        <v>25.797420224240053</v>
      </c>
      <c r="E40" s="6">
        <f>$E$20*1.1</f>
        <v>209.7330255020857</v>
      </c>
      <c r="F40" s="6">
        <f>$I$20*1.1</f>
        <v>271.10938509938126</v>
      </c>
      <c r="G40" s="6">
        <f>$H$20*1.1</f>
        <v>281.12739260977509</v>
      </c>
      <c r="H40" s="6">
        <f>$G$20*1.1</f>
        <v>260.48944041323665</v>
      </c>
      <c r="I40" s="6">
        <f>F$20*1.1</f>
        <v>198.27466649061444</v>
      </c>
      <c r="P40" s="3"/>
      <c r="Q40" s="3"/>
      <c r="R40" s="3"/>
      <c r="S40" s="3"/>
      <c r="T40" s="3"/>
      <c r="U40" s="3"/>
      <c r="AA40" s="98" t="s">
        <v>40</v>
      </c>
      <c r="AB40" s="98">
        <v>3.8800000000000001E-2</v>
      </c>
      <c r="AC40" s="98">
        <v>4.0300000000000002E-2</v>
      </c>
      <c r="AD40" s="98">
        <v>3.9800000000000002E-2</v>
      </c>
      <c r="AE40" s="98">
        <v>3.9300000000000002E-2</v>
      </c>
      <c r="AF40" s="98">
        <v>3.9800000000000002E-2</v>
      </c>
      <c r="AG40" s="98">
        <v>4.5600000000000002E-2</v>
      </c>
      <c r="AH40" s="98">
        <v>3.9899999999999998E-2</v>
      </c>
      <c r="AI40" s="98">
        <v>6.0299999999999999E-2</v>
      </c>
      <c r="AJ40" s="98">
        <v>6.2600000000000003E-2</v>
      </c>
      <c r="AK40" s="98">
        <v>5.9299999999999999E-2</v>
      </c>
      <c r="AL40" s="98">
        <v>4.36E-2</v>
      </c>
      <c r="AM40" s="98">
        <v>4.24E-2</v>
      </c>
    </row>
    <row r="41" spans="1:39" ht="16" x14ac:dyDescent="0.2">
      <c r="C41" s="6" t="s">
        <v>146</v>
      </c>
      <c r="D41" s="6">
        <f>$D$27*1.1</f>
        <v>31.666333315243946</v>
      </c>
      <c r="E41" s="6">
        <f>$E$27*1.1</f>
        <v>228.04919622382525</v>
      </c>
      <c r="F41" s="6">
        <f>$I$27*1.1</f>
        <v>228.65112699271739</v>
      </c>
      <c r="G41" s="6">
        <f>$H$27*1.1</f>
        <v>202.91820381277802</v>
      </c>
      <c r="H41" s="6">
        <f>$G$27*1.1</f>
        <v>280.07398973849416</v>
      </c>
      <c r="I41" s="6">
        <f>F$27*1.1</f>
        <v>256.03939021968847</v>
      </c>
      <c r="P41" s="3"/>
      <c r="Q41" s="3"/>
      <c r="R41" s="3"/>
      <c r="S41" s="3"/>
      <c r="T41" s="3"/>
      <c r="U41" s="3"/>
      <c r="AA41" s="98" t="s">
        <v>41</v>
      </c>
      <c r="AB41" s="98">
        <v>3.8300000000000001E-2</v>
      </c>
      <c r="AC41" s="98">
        <v>5.9799999999999999E-2</v>
      </c>
      <c r="AD41" s="98">
        <v>4.0399999999999998E-2</v>
      </c>
      <c r="AE41" s="98">
        <v>4.0899999999999999E-2</v>
      </c>
      <c r="AF41" s="98">
        <v>4.2700000000000002E-2</v>
      </c>
      <c r="AG41" s="98">
        <v>4.1799999999999997E-2</v>
      </c>
      <c r="AH41" s="98">
        <v>4.1700000000000001E-2</v>
      </c>
      <c r="AI41" s="98">
        <v>7.0099999999999996E-2</v>
      </c>
      <c r="AJ41" s="98">
        <v>6.5699999999999995E-2</v>
      </c>
      <c r="AK41" s="98">
        <v>6.0699999999999997E-2</v>
      </c>
      <c r="AL41" s="98">
        <v>4.2999999999999997E-2</v>
      </c>
      <c r="AM41" s="98">
        <v>4.0399999999999998E-2</v>
      </c>
    </row>
    <row r="42" spans="1:39" ht="16" x14ac:dyDescent="0.2">
      <c r="C42" s="6" t="s">
        <v>147</v>
      </c>
      <c r="D42" s="6">
        <f>$D$34*1.1</f>
        <v>21.046395035957918</v>
      </c>
      <c r="E42" s="6">
        <f>$E$34*1.1</f>
        <v>183.39815873953702</v>
      </c>
      <c r="F42" s="6">
        <f>$I$34*1.1</f>
        <v>161.68532788181307</v>
      </c>
      <c r="G42" s="6">
        <f>$H$34*1.1</f>
        <v>171.8323118619472</v>
      </c>
      <c r="H42" s="6">
        <f>$G$34*1.1</f>
        <v>178.23867069040239</v>
      </c>
      <c r="I42" s="6">
        <f>F$34*1.1</f>
        <v>214.41955925206841</v>
      </c>
      <c r="AA42" s="98" t="s">
        <v>42</v>
      </c>
      <c r="AB42" s="98">
        <v>3.8600000000000002E-2</v>
      </c>
      <c r="AC42" s="98">
        <v>3.95E-2</v>
      </c>
      <c r="AD42" s="98">
        <v>4.0099999999999997E-2</v>
      </c>
      <c r="AE42" s="98">
        <v>3.95E-2</v>
      </c>
      <c r="AF42" s="98">
        <v>4.1099999999999998E-2</v>
      </c>
      <c r="AG42" s="98">
        <v>3.9800000000000002E-2</v>
      </c>
      <c r="AH42" s="98">
        <v>4.1799999999999997E-2</v>
      </c>
      <c r="AI42" s="98">
        <v>5.6099999999999997E-2</v>
      </c>
      <c r="AJ42" s="98">
        <v>7.5499999999999998E-2</v>
      </c>
      <c r="AK42" s="98">
        <v>7.51E-2</v>
      </c>
      <c r="AL42" s="98">
        <v>4.1500000000000002E-2</v>
      </c>
      <c r="AM42" s="98">
        <v>3.9899999999999998E-2</v>
      </c>
    </row>
    <row r="43" spans="1:39" ht="16" x14ac:dyDescent="0.2">
      <c r="A43" s="6" t="s">
        <v>12</v>
      </c>
      <c r="D43" s="6">
        <f>AVERAGE(D39:D42)</f>
        <v>34.111713703090793</v>
      </c>
      <c r="E43" s="6">
        <f t="shared" ref="E43:I43" si="21">AVERAGE(E39:E42)</f>
        <v>220.72380236531052</v>
      </c>
      <c r="F43" s="6">
        <f t="shared" si="21"/>
        <v>234.45555024713656</v>
      </c>
      <c r="G43" s="6">
        <f t="shared" si="21"/>
        <v>219.42318284778671</v>
      </c>
      <c r="H43" s="6">
        <f t="shared" si="21"/>
        <v>227.16777746210622</v>
      </c>
      <c r="I43" s="6">
        <f t="shared" si="21"/>
        <v>222.67472923902426</v>
      </c>
      <c r="K43" s="55"/>
      <c r="L43" s="55"/>
      <c r="M43" s="55"/>
      <c r="AA43" s="98" t="s">
        <v>43</v>
      </c>
      <c r="AB43" s="98">
        <v>4.0099999999999997E-2</v>
      </c>
      <c r="AC43" s="98">
        <v>4.1799999999999997E-2</v>
      </c>
      <c r="AD43" s="98">
        <v>4.0599999999999997E-2</v>
      </c>
      <c r="AE43" s="98">
        <v>4.2599999999999999E-2</v>
      </c>
      <c r="AF43" s="98">
        <v>4.7899999999999998E-2</v>
      </c>
      <c r="AG43" s="98">
        <v>3.9800000000000002E-2</v>
      </c>
      <c r="AH43" s="98">
        <v>3.8300000000000001E-2</v>
      </c>
      <c r="AI43" s="98">
        <v>6.1199999999999997E-2</v>
      </c>
      <c r="AJ43" s="98">
        <v>6.1800000000000001E-2</v>
      </c>
      <c r="AK43" s="98">
        <v>8.5999999999999993E-2</v>
      </c>
      <c r="AL43" s="98">
        <v>3.85E-2</v>
      </c>
      <c r="AM43" s="98">
        <v>3.8699999999999998E-2</v>
      </c>
    </row>
    <row r="44" spans="1:39" ht="16" x14ac:dyDescent="0.2">
      <c r="C44" s="6"/>
      <c r="E44" s="14"/>
      <c r="F44" s="55"/>
      <c r="G44" s="55"/>
      <c r="H44" s="55"/>
      <c r="I44" s="55"/>
      <c r="J44" s="55"/>
      <c r="K44" s="55"/>
      <c r="L44" s="55"/>
      <c r="M44" s="55"/>
      <c r="AA44" s="98" t="s">
        <v>44</v>
      </c>
      <c r="AB44" s="98">
        <v>3.8600000000000002E-2</v>
      </c>
      <c r="AC44" s="98">
        <v>4.0399999999999998E-2</v>
      </c>
      <c r="AD44" s="98">
        <v>4.2599999999999999E-2</v>
      </c>
      <c r="AE44" s="98">
        <v>3.9399999999999998E-2</v>
      </c>
      <c r="AF44" s="98">
        <v>4.7300000000000002E-2</v>
      </c>
      <c r="AG44" s="98">
        <v>3.9199999999999999E-2</v>
      </c>
      <c r="AH44" s="98">
        <v>3.8899999999999997E-2</v>
      </c>
      <c r="AI44" s="98">
        <v>0.1024</v>
      </c>
      <c r="AJ44" s="98">
        <v>5.4199999999999998E-2</v>
      </c>
      <c r="AK44" s="98">
        <v>5.7200000000000001E-2</v>
      </c>
      <c r="AL44" s="98">
        <v>3.8699999999999998E-2</v>
      </c>
      <c r="AM44" s="98">
        <v>3.8300000000000001E-2</v>
      </c>
    </row>
    <row r="45" spans="1:39" ht="16" x14ac:dyDescent="0.2">
      <c r="A45" s="6" t="s">
        <v>167</v>
      </c>
      <c r="B45" s="6" t="s">
        <v>172</v>
      </c>
      <c r="C45" s="6" t="s">
        <v>84</v>
      </c>
      <c r="D45" s="6">
        <f>D39/$D$39</f>
        <v>1</v>
      </c>
      <c r="E45" s="6">
        <f t="shared" ref="E45:I45" si="22">E39/$D$39</f>
        <v>4.5172541898664473</v>
      </c>
      <c r="F45" s="6">
        <f t="shared" si="22"/>
        <v>4.7703153832122469</v>
      </c>
      <c r="G45" s="6">
        <f t="shared" si="22"/>
        <v>3.8285715138788969</v>
      </c>
      <c r="H45" s="6">
        <f t="shared" si="22"/>
        <v>3.2771798974877528</v>
      </c>
      <c r="I45" s="6">
        <f t="shared" si="22"/>
        <v>3.8311687945469379</v>
      </c>
      <c r="J45" s="55"/>
      <c r="K45" s="55"/>
      <c r="L45" s="55"/>
      <c r="M45" s="55"/>
      <c r="AA45" s="98" t="s">
        <v>45</v>
      </c>
      <c r="AB45" s="98">
        <v>4.2700000000000002E-2</v>
      </c>
      <c r="AC45" s="98">
        <v>4.07E-2</v>
      </c>
      <c r="AD45" s="98">
        <v>4.3299999999999998E-2</v>
      </c>
      <c r="AE45" s="98">
        <v>3.95E-2</v>
      </c>
      <c r="AF45" s="98">
        <v>4.0599999999999997E-2</v>
      </c>
      <c r="AG45" s="98">
        <v>3.9199999999999999E-2</v>
      </c>
      <c r="AH45" s="98">
        <v>4.48E-2</v>
      </c>
      <c r="AI45" s="98">
        <v>5.96E-2</v>
      </c>
      <c r="AJ45" s="98">
        <v>5.7000000000000002E-2</v>
      </c>
      <c r="AK45" s="98">
        <v>5.3100000000000001E-2</v>
      </c>
      <c r="AL45" s="98">
        <v>3.7699999999999997E-2</v>
      </c>
      <c r="AM45" s="98">
        <v>3.7999999999999999E-2</v>
      </c>
    </row>
    <row r="46" spans="1:39" ht="16" x14ac:dyDescent="0.2">
      <c r="C46" s="6" t="s">
        <v>85</v>
      </c>
      <c r="D46" s="6">
        <f>D40/$D$40</f>
        <v>1</v>
      </c>
      <c r="E46" s="6">
        <f t="shared" ref="E46:I46" si="23">E40/$D$40</f>
        <v>8.1299999642993015</v>
      </c>
      <c r="F46" s="6">
        <f t="shared" si="23"/>
        <v>10.509166526838932</v>
      </c>
      <c r="G46" s="6">
        <f t="shared" si="23"/>
        <v>10.897500221577159</v>
      </c>
      <c r="H46" s="6">
        <f t="shared" si="23"/>
        <v>10.09749960069545</v>
      </c>
      <c r="I46" s="6">
        <f t="shared" si="23"/>
        <v>7.6858331091691658</v>
      </c>
      <c r="J46" s="55"/>
      <c r="K46" s="55"/>
      <c r="L46" s="55"/>
      <c r="M46" s="55"/>
      <c r="AA46" s="98" t="s">
        <v>46</v>
      </c>
      <c r="AB46" s="98">
        <v>3.8199999999999998E-2</v>
      </c>
      <c r="AC46" s="98">
        <v>0.04</v>
      </c>
      <c r="AD46" s="98">
        <v>3.9100000000000003E-2</v>
      </c>
      <c r="AE46" s="98">
        <v>3.9399999999999998E-2</v>
      </c>
      <c r="AF46" s="98">
        <v>4.0300000000000002E-2</v>
      </c>
      <c r="AG46" s="98">
        <v>3.9699999999999999E-2</v>
      </c>
      <c r="AH46" s="98">
        <v>3.9300000000000002E-2</v>
      </c>
      <c r="AI46" s="98">
        <v>6.5100000000000005E-2</v>
      </c>
      <c r="AJ46" s="98">
        <v>6.5199999999999994E-2</v>
      </c>
      <c r="AK46" s="98">
        <v>5.5199999999999999E-2</v>
      </c>
      <c r="AL46" s="98">
        <v>3.78E-2</v>
      </c>
      <c r="AM46" s="98">
        <v>3.7499999999999999E-2</v>
      </c>
    </row>
    <row r="47" spans="1:39" ht="16" x14ac:dyDescent="0.2">
      <c r="C47" s="6" t="s">
        <v>146</v>
      </c>
      <c r="D47" s="6">
        <f>D41/$D$41</f>
        <v>1</v>
      </c>
      <c r="E47" s="6">
        <f t="shared" ref="E47:I47" si="24">E41/$D$41</f>
        <v>7.2016293757017964</v>
      </c>
      <c r="F47" s="6">
        <f t="shared" si="24"/>
        <v>7.2206379158728291</v>
      </c>
      <c r="G47" s="6">
        <f t="shared" si="24"/>
        <v>6.4080107347033657</v>
      </c>
      <c r="H47" s="6">
        <f t="shared" si="24"/>
        <v>8.844534886635218</v>
      </c>
      <c r="I47" s="6">
        <f t="shared" si="24"/>
        <v>8.0855395435515405</v>
      </c>
      <c r="J47" s="55"/>
      <c r="K47" s="55"/>
      <c r="L47" s="55"/>
      <c r="M47" s="55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</row>
    <row r="48" spans="1:39" ht="16" x14ac:dyDescent="0.2">
      <c r="C48" s="6" t="s">
        <v>147</v>
      </c>
      <c r="D48" s="6">
        <f>D42/$D$42</f>
        <v>1</v>
      </c>
      <c r="E48" s="6">
        <f t="shared" ref="E48:I48" si="25">E42/$D$42</f>
        <v>8.7139939370234156</v>
      </c>
      <c r="F48" s="6">
        <f t="shared" si="25"/>
        <v>7.6823288551589251</v>
      </c>
      <c r="G48" s="6">
        <f t="shared" si="25"/>
        <v>8.164453416766646</v>
      </c>
      <c r="H48" s="6">
        <f t="shared" si="25"/>
        <v>8.4688456329875184</v>
      </c>
      <c r="I48" s="6">
        <f t="shared" si="25"/>
        <v>10.18794709905098</v>
      </c>
      <c r="J48" s="55"/>
      <c r="K48" s="55"/>
      <c r="L48" s="55"/>
      <c r="M48" s="55"/>
      <c r="AA48" s="98" t="s">
        <v>50</v>
      </c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</row>
    <row r="49" spans="1:39" ht="16" x14ac:dyDescent="0.2">
      <c r="E49" s="14"/>
      <c r="F49" s="55"/>
      <c r="G49" s="55"/>
      <c r="H49" s="55"/>
      <c r="I49" s="55"/>
      <c r="J49" s="55"/>
      <c r="K49" s="55"/>
      <c r="L49" s="55"/>
      <c r="M49" s="55"/>
      <c r="AA49" s="98" t="s">
        <v>37</v>
      </c>
      <c r="AB49" s="98">
        <v>1</v>
      </c>
      <c r="AC49" s="98">
        <v>2</v>
      </c>
      <c r="AD49" s="98">
        <v>3</v>
      </c>
      <c r="AE49" s="98">
        <v>4</v>
      </c>
      <c r="AF49" s="98">
        <v>5</v>
      </c>
      <c r="AG49" s="98">
        <v>6</v>
      </c>
      <c r="AH49" s="98">
        <v>7</v>
      </c>
      <c r="AI49" s="98">
        <v>8</v>
      </c>
      <c r="AJ49" s="98">
        <v>9</v>
      </c>
      <c r="AK49" s="98">
        <v>10</v>
      </c>
      <c r="AL49" s="98">
        <v>11</v>
      </c>
      <c r="AM49" s="98">
        <v>12</v>
      </c>
    </row>
    <row r="50" spans="1:39" ht="16" x14ac:dyDescent="0.2">
      <c r="C50" s="6"/>
      <c r="E50" s="14"/>
      <c r="F50" s="55"/>
      <c r="G50" s="55"/>
      <c r="H50" s="55"/>
      <c r="I50" s="55"/>
      <c r="J50" s="55"/>
      <c r="K50" s="55"/>
      <c r="L50" s="55"/>
      <c r="M50" s="55"/>
      <c r="AA50" s="98" t="s">
        <v>39</v>
      </c>
      <c r="AB50" s="97">
        <v>0.1145</v>
      </c>
      <c r="AC50" s="97">
        <v>0.60519999999999996</v>
      </c>
      <c r="AD50" s="97">
        <v>0.4733</v>
      </c>
      <c r="AE50" s="97">
        <v>0.46729999999999999</v>
      </c>
      <c r="AF50" s="97">
        <v>0.51870000000000005</v>
      </c>
      <c r="AG50" s="97">
        <v>0.64510000000000001</v>
      </c>
      <c r="AH50" s="97">
        <v>0.32829999999999998</v>
      </c>
      <c r="AI50" s="98">
        <v>3.8222999999999998</v>
      </c>
      <c r="AJ50" s="98" t="s">
        <v>13</v>
      </c>
      <c r="AK50" s="98">
        <v>3.7406000000000001</v>
      </c>
      <c r="AL50" s="97">
        <v>2.5114000000000001</v>
      </c>
      <c r="AM50" s="97">
        <v>2.4676</v>
      </c>
    </row>
    <row r="51" spans="1:39" s="58" customFormat="1" ht="16" x14ac:dyDescent="0.2">
      <c r="A51" s="61" t="s">
        <v>156</v>
      </c>
      <c r="B51" s="61"/>
      <c r="C51" s="59" t="s">
        <v>157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AA51" s="98" t="s">
        <v>40</v>
      </c>
      <c r="AB51" s="97">
        <v>0.155</v>
      </c>
      <c r="AC51" s="97">
        <v>0.61219999999999997</v>
      </c>
      <c r="AD51" s="97">
        <v>0.55920000000000003</v>
      </c>
      <c r="AE51" s="97">
        <v>0.41589999999999999</v>
      </c>
      <c r="AF51" s="97">
        <v>0.5131</v>
      </c>
      <c r="AG51" s="97">
        <v>0.64049999999999996</v>
      </c>
      <c r="AH51" s="97">
        <v>0.47299999999999998</v>
      </c>
      <c r="AI51" s="98">
        <v>3.7730999999999999</v>
      </c>
      <c r="AJ51" s="98" t="s">
        <v>13</v>
      </c>
      <c r="AK51" s="98">
        <v>3.8649</v>
      </c>
      <c r="AL51" s="97">
        <v>1.5043</v>
      </c>
      <c r="AM51" s="97">
        <v>1.2826</v>
      </c>
    </row>
    <row r="52" spans="1:39" s="58" customFormat="1" ht="16" x14ac:dyDescent="0.2">
      <c r="C52" s="59" t="s">
        <v>158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AA52" s="98" t="s">
        <v>41</v>
      </c>
      <c r="AB52" s="98">
        <v>5.8299999999999998E-2</v>
      </c>
      <c r="AC52" s="98">
        <v>0.47160000000000002</v>
      </c>
      <c r="AD52" s="98">
        <v>0.46579999999999999</v>
      </c>
      <c r="AE52" s="98">
        <v>0.61770000000000003</v>
      </c>
      <c r="AF52" s="98">
        <v>0.69120000000000004</v>
      </c>
      <c r="AG52" s="98">
        <v>0.63370000000000004</v>
      </c>
      <c r="AH52" s="98">
        <v>0.61439999999999995</v>
      </c>
      <c r="AI52" s="98" t="s">
        <v>13</v>
      </c>
      <c r="AJ52" s="98" t="s">
        <v>13</v>
      </c>
      <c r="AK52" s="98">
        <v>3.8650000000000002</v>
      </c>
      <c r="AL52" s="97">
        <v>0.80530000000000002</v>
      </c>
      <c r="AM52" s="97">
        <v>0.70920000000000005</v>
      </c>
    </row>
    <row r="53" spans="1:39" s="58" customFormat="1" ht="16" x14ac:dyDescent="0.2">
      <c r="C53" s="59" t="s">
        <v>159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AA53" s="98" t="s">
        <v>42</v>
      </c>
      <c r="AB53" s="98">
        <v>6.1699999999999998E-2</v>
      </c>
      <c r="AC53" s="98">
        <v>0.504</v>
      </c>
      <c r="AD53" s="98">
        <v>0.45650000000000002</v>
      </c>
      <c r="AE53" s="98">
        <v>0.59399999999999997</v>
      </c>
      <c r="AF53" s="98">
        <v>0.61650000000000005</v>
      </c>
      <c r="AG53" s="98">
        <v>0.62739999999999996</v>
      </c>
      <c r="AH53" s="98">
        <v>0.19359999999999999</v>
      </c>
      <c r="AI53" s="98" t="s">
        <v>13</v>
      </c>
      <c r="AJ53" s="98" t="s">
        <v>13</v>
      </c>
      <c r="AK53" s="98" t="s">
        <v>13</v>
      </c>
      <c r="AL53" s="97">
        <v>0.57179999999999997</v>
      </c>
      <c r="AM53" s="97">
        <v>0.45090000000000002</v>
      </c>
    </row>
    <row r="54" spans="1:39" s="58" customFormat="1" ht="16" x14ac:dyDescent="0.2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AA54" s="98" t="s">
        <v>43</v>
      </c>
      <c r="AB54" s="98">
        <v>0.1079</v>
      </c>
      <c r="AC54" s="98">
        <v>0.5181</v>
      </c>
      <c r="AD54" s="98">
        <v>0.57110000000000005</v>
      </c>
      <c r="AE54" s="98">
        <v>0.7571</v>
      </c>
      <c r="AF54" s="98">
        <v>0.46060000000000001</v>
      </c>
      <c r="AG54" s="98">
        <v>0.59860000000000002</v>
      </c>
      <c r="AH54" s="98">
        <v>0.121</v>
      </c>
      <c r="AI54" s="98">
        <v>3.9198</v>
      </c>
      <c r="AJ54" s="98" t="s">
        <v>13</v>
      </c>
      <c r="AK54" s="98">
        <v>3.5682</v>
      </c>
      <c r="AL54" s="97">
        <v>0.30080000000000001</v>
      </c>
      <c r="AM54" s="97">
        <v>0.20860000000000001</v>
      </c>
    </row>
    <row r="55" spans="1:39" s="58" customFormat="1" ht="16" x14ac:dyDescent="0.2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AA55" s="98" t="s">
        <v>44</v>
      </c>
      <c r="AB55" s="98">
        <v>3.9399999999999998E-2</v>
      </c>
      <c r="AC55" s="98">
        <v>0.54269999999999996</v>
      </c>
      <c r="AD55" s="98">
        <v>0.61990000000000001</v>
      </c>
      <c r="AE55" s="98">
        <v>0.54569999999999996</v>
      </c>
      <c r="AF55" s="98">
        <v>0.48330000000000001</v>
      </c>
      <c r="AG55" s="98">
        <v>0.46500000000000002</v>
      </c>
      <c r="AH55" s="98">
        <v>8.5400000000000004E-2</v>
      </c>
      <c r="AI55" s="98">
        <v>3.7280000000000002</v>
      </c>
      <c r="AJ55" s="98" t="s">
        <v>13</v>
      </c>
      <c r="AK55" s="98">
        <v>3.3513000000000002</v>
      </c>
      <c r="AL55" s="97">
        <v>0.1323</v>
      </c>
      <c r="AM55" s="97">
        <v>0.13159999999999999</v>
      </c>
    </row>
    <row r="56" spans="1:39" s="58" customFormat="1" ht="16" x14ac:dyDescent="0.2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AA56" s="98" t="s">
        <v>45</v>
      </c>
      <c r="AB56" s="98">
        <v>5.6399999999999999E-2</v>
      </c>
      <c r="AC56" s="98">
        <v>0.46</v>
      </c>
      <c r="AD56" s="98">
        <v>0.60929999999999995</v>
      </c>
      <c r="AE56" s="98">
        <v>0.4637</v>
      </c>
      <c r="AF56" s="98">
        <v>0.42109999999999997</v>
      </c>
      <c r="AG56" s="98">
        <v>0.39079999999999998</v>
      </c>
      <c r="AH56" s="98">
        <v>5.8200000000000002E-2</v>
      </c>
      <c r="AI56" s="98">
        <v>3.8904999999999998</v>
      </c>
      <c r="AJ56" s="98" t="s">
        <v>13</v>
      </c>
      <c r="AK56" s="98">
        <v>3.6101000000000001</v>
      </c>
      <c r="AL56" s="97">
        <v>0.1101</v>
      </c>
      <c r="AM56" s="97">
        <v>8.6699999999999999E-2</v>
      </c>
    </row>
    <row r="57" spans="1:39" ht="16" x14ac:dyDescent="0.2">
      <c r="C57" s="6"/>
      <c r="AA57" s="98" t="s">
        <v>46</v>
      </c>
      <c r="AB57" s="98">
        <v>4.1500000000000002E-2</v>
      </c>
      <c r="AC57" s="98">
        <v>0.3931</v>
      </c>
      <c r="AD57" s="98">
        <v>0.3881</v>
      </c>
      <c r="AE57" s="98">
        <v>0.3654</v>
      </c>
      <c r="AF57" s="98">
        <v>0.37819999999999998</v>
      </c>
      <c r="AG57" s="98">
        <v>0.36130000000000001</v>
      </c>
      <c r="AH57" s="98">
        <v>3.5400000000000001E-2</v>
      </c>
      <c r="AI57" s="98">
        <v>3.6465999999999998</v>
      </c>
      <c r="AJ57" s="98">
        <v>3.7164999999999999</v>
      </c>
      <c r="AK57" s="98">
        <v>3.3313999999999999</v>
      </c>
      <c r="AL57" s="97">
        <v>4.0099999999999997E-2</v>
      </c>
      <c r="AM57" s="97">
        <v>3.1E-2</v>
      </c>
    </row>
    <row r="58" spans="1:39" ht="16" x14ac:dyDescent="0.2"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</row>
    <row r="59" spans="1:39" ht="16" x14ac:dyDescent="0.2"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</row>
    <row r="60" spans="1:39" ht="16" x14ac:dyDescent="0.2">
      <c r="AA60" s="98" t="s">
        <v>51</v>
      </c>
      <c r="AB60" s="100">
        <v>43021.785243055558</v>
      </c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</row>
    <row r="63" spans="1:39" x14ac:dyDescent="0.2">
      <c r="AL63" s="118" t="s">
        <v>194</v>
      </c>
      <c r="AM63" s="118"/>
    </row>
    <row r="64" spans="1:39" x14ac:dyDescent="0.2">
      <c r="AA64" s="4" t="s">
        <v>193</v>
      </c>
      <c r="AB64" s="4">
        <f>AB49</f>
        <v>1</v>
      </c>
      <c r="AC64" s="4">
        <f t="shared" ref="AC64:AM64" si="26">AC49</f>
        <v>2</v>
      </c>
      <c r="AD64" s="4">
        <f t="shared" si="26"/>
        <v>3</v>
      </c>
      <c r="AE64" s="4">
        <f t="shared" si="26"/>
        <v>4</v>
      </c>
      <c r="AF64" s="4">
        <f t="shared" si="26"/>
        <v>5</v>
      </c>
      <c r="AG64" s="4">
        <f t="shared" si="26"/>
        <v>6</v>
      </c>
      <c r="AH64" s="4">
        <f t="shared" si="26"/>
        <v>7</v>
      </c>
      <c r="AI64" s="4">
        <f t="shared" si="26"/>
        <v>8</v>
      </c>
      <c r="AJ64" s="4">
        <f t="shared" si="26"/>
        <v>9</v>
      </c>
      <c r="AK64" s="4">
        <f t="shared" si="26"/>
        <v>10</v>
      </c>
      <c r="AL64" s="4">
        <f t="shared" si="26"/>
        <v>11</v>
      </c>
      <c r="AM64" s="4">
        <f t="shared" si="26"/>
        <v>12</v>
      </c>
    </row>
    <row r="65" spans="26:39" ht="48" x14ac:dyDescent="0.2">
      <c r="Z65" s="148" t="s">
        <v>408</v>
      </c>
      <c r="AA65" s="9" t="str">
        <f>AA50</f>
        <v>A</v>
      </c>
      <c r="AB65" s="8" t="s">
        <v>195</v>
      </c>
      <c r="AC65" s="8" t="s">
        <v>196</v>
      </c>
      <c r="AD65" s="1" t="s">
        <v>197</v>
      </c>
      <c r="AE65" s="1" t="s">
        <v>198</v>
      </c>
      <c r="AF65" s="1" t="s">
        <v>199</v>
      </c>
      <c r="AG65" s="1" t="s">
        <v>200</v>
      </c>
      <c r="AH65" s="1" t="s">
        <v>201</v>
      </c>
      <c r="AI65" s="1" t="s">
        <v>202</v>
      </c>
      <c r="AJ65" s="1" t="s">
        <v>203</v>
      </c>
      <c r="AK65" s="1" t="s">
        <v>204</v>
      </c>
      <c r="AL65" s="7">
        <v>1000</v>
      </c>
      <c r="AM65" s="7">
        <v>1000</v>
      </c>
    </row>
    <row r="66" spans="26:39" ht="48" x14ac:dyDescent="0.2">
      <c r="Z66" s="148"/>
      <c r="AA66" s="4" t="str">
        <f t="shared" ref="AA66:AA72" si="27">AA51</f>
        <v>B</v>
      </c>
      <c r="AB66" s="8" t="s">
        <v>205</v>
      </c>
      <c r="AC66" s="8" t="s">
        <v>206</v>
      </c>
      <c r="AD66" s="1" t="s">
        <v>207</v>
      </c>
      <c r="AE66" s="1" t="s">
        <v>208</v>
      </c>
      <c r="AF66" s="1" t="s">
        <v>209</v>
      </c>
      <c r="AG66" s="1" t="s">
        <v>210</v>
      </c>
      <c r="AH66" s="1" t="s">
        <v>211</v>
      </c>
      <c r="AI66" s="1" t="s">
        <v>212</v>
      </c>
      <c r="AJ66" s="1" t="s">
        <v>213</v>
      </c>
      <c r="AK66" s="1" t="s">
        <v>214</v>
      </c>
      <c r="AL66" s="7">
        <v>500</v>
      </c>
      <c r="AM66" s="7">
        <v>500</v>
      </c>
    </row>
    <row r="67" spans="26:39" ht="48" x14ac:dyDescent="0.2">
      <c r="Z67" s="148"/>
      <c r="AA67" s="4" t="str">
        <f t="shared" si="27"/>
        <v>C</v>
      </c>
      <c r="AB67" s="8" t="s">
        <v>215</v>
      </c>
      <c r="AC67" s="8" t="s">
        <v>216</v>
      </c>
      <c r="AD67" s="1" t="s">
        <v>217</v>
      </c>
      <c r="AE67" s="1" t="s">
        <v>218</v>
      </c>
      <c r="AF67" s="1" t="s">
        <v>219</v>
      </c>
      <c r="AG67" s="1" t="s">
        <v>220</v>
      </c>
      <c r="AH67" s="1" t="s">
        <v>221</v>
      </c>
      <c r="AI67" s="1" t="s">
        <v>222</v>
      </c>
      <c r="AJ67" s="1" t="s">
        <v>223</v>
      </c>
      <c r="AK67" s="1" t="s">
        <v>224</v>
      </c>
      <c r="AL67" s="7">
        <v>250</v>
      </c>
      <c r="AM67" s="7">
        <v>250</v>
      </c>
    </row>
    <row r="68" spans="26:39" ht="48" x14ac:dyDescent="0.2">
      <c r="Z68" s="148"/>
      <c r="AA68" s="4" t="str">
        <f t="shared" si="27"/>
        <v>D</v>
      </c>
      <c r="AB68" s="8" t="s">
        <v>225</v>
      </c>
      <c r="AC68" s="8" t="s">
        <v>226</v>
      </c>
      <c r="AD68" s="1" t="s">
        <v>227</v>
      </c>
      <c r="AE68" s="1" t="s">
        <v>228</v>
      </c>
      <c r="AF68" s="1" t="s">
        <v>229</v>
      </c>
      <c r="AG68" s="1" t="s">
        <v>230</v>
      </c>
      <c r="AH68" s="1" t="s">
        <v>231</v>
      </c>
      <c r="AI68" s="1" t="s">
        <v>232</v>
      </c>
      <c r="AJ68" s="1" t="s">
        <v>233</v>
      </c>
      <c r="AK68" s="1" t="s">
        <v>234</v>
      </c>
      <c r="AL68" s="7">
        <v>125</v>
      </c>
      <c r="AM68" s="7">
        <v>125</v>
      </c>
    </row>
    <row r="69" spans="26:39" ht="48" x14ac:dyDescent="0.2">
      <c r="Z69" s="148"/>
      <c r="AA69" s="4" t="str">
        <f t="shared" si="27"/>
        <v>E</v>
      </c>
      <c r="AB69" s="8" t="s">
        <v>235</v>
      </c>
      <c r="AC69" s="8" t="s">
        <v>236</v>
      </c>
      <c r="AD69" s="1" t="s">
        <v>237</v>
      </c>
      <c r="AE69" s="1" t="s">
        <v>238</v>
      </c>
      <c r="AF69" s="1" t="s">
        <v>239</v>
      </c>
      <c r="AG69" s="1" t="s">
        <v>240</v>
      </c>
      <c r="AH69" s="1" t="s">
        <v>241</v>
      </c>
      <c r="AI69" s="1" t="s">
        <v>242</v>
      </c>
      <c r="AJ69" s="1" t="s">
        <v>243</v>
      </c>
      <c r="AK69" s="1" t="s">
        <v>244</v>
      </c>
      <c r="AL69" s="7">
        <v>62.5</v>
      </c>
      <c r="AM69" s="7">
        <v>62.5</v>
      </c>
    </row>
    <row r="70" spans="26:39" ht="48" x14ac:dyDescent="0.2">
      <c r="Z70" s="148"/>
      <c r="AA70" s="4" t="str">
        <f t="shared" si="27"/>
        <v>F</v>
      </c>
      <c r="AB70" s="8" t="s">
        <v>245</v>
      </c>
      <c r="AC70" s="8" t="s">
        <v>246</v>
      </c>
      <c r="AD70" s="1" t="s">
        <v>247</v>
      </c>
      <c r="AE70" s="1" t="s">
        <v>248</v>
      </c>
      <c r="AF70" s="1" t="s">
        <v>249</v>
      </c>
      <c r="AG70" s="1" t="s">
        <v>250</v>
      </c>
      <c r="AH70" s="1" t="s">
        <v>251</v>
      </c>
      <c r="AI70" s="1" t="s">
        <v>252</v>
      </c>
      <c r="AJ70" s="1" t="s">
        <v>253</v>
      </c>
      <c r="AK70" s="1" t="s">
        <v>254</v>
      </c>
      <c r="AL70" s="7">
        <v>31.25</v>
      </c>
      <c r="AM70" s="7">
        <v>31.25</v>
      </c>
    </row>
    <row r="71" spans="26:39" ht="48" x14ac:dyDescent="0.2">
      <c r="Z71" s="148"/>
      <c r="AA71" s="4" t="str">
        <f t="shared" si="27"/>
        <v>G</v>
      </c>
      <c r="AB71" s="8" t="s">
        <v>255</v>
      </c>
      <c r="AC71" s="8" t="s">
        <v>256</v>
      </c>
      <c r="AD71" s="1" t="s">
        <v>257</v>
      </c>
      <c r="AE71" s="1" t="s">
        <v>258</v>
      </c>
      <c r="AF71" s="1" t="s">
        <v>259</v>
      </c>
      <c r="AG71" s="1" t="s">
        <v>260</v>
      </c>
      <c r="AH71" s="1" t="s">
        <v>261</v>
      </c>
      <c r="AI71" s="1" t="s">
        <v>262</v>
      </c>
      <c r="AJ71" s="1" t="s">
        <v>263</v>
      </c>
      <c r="AK71" s="1" t="s">
        <v>264</v>
      </c>
      <c r="AL71" s="7">
        <v>15.625</v>
      </c>
      <c r="AM71" s="7">
        <v>15.625</v>
      </c>
    </row>
    <row r="72" spans="26:39" ht="48" x14ac:dyDescent="0.2">
      <c r="Z72" s="148"/>
      <c r="AA72" s="4" t="str">
        <f t="shared" si="27"/>
        <v>H</v>
      </c>
      <c r="AB72" s="8" t="s">
        <v>265</v>
      </c>
      <c r="AC72" s="8" t="s">
        <v>266</v>
      </c>
      <c r="AD72" s="1" t="s">
        <v>267</v>
      </c>
      <c r="AE72" s="1" t="s">
        <v>268</v>
      </c>
      <c r="AF72" s="1" t="s">
        <v>269</v>
      </c>
      <c r="AG72" s="1" t="s">
        <v>270</v>
      </c>
      <c r="AH72" s="1" t="s">
        <v>271</v>
      </c>
      <c r="AI72" s="1" t="s">
        <v>272</v>
      </c>
      <c r="AJ72" s="1" t="s">
        <v>273</v>
      </c>
      <c r="AK72" s="1" t="s">
        <v>274</v>
      </c>
      <c r="AL72" s="7">
        <v>0</v>
      </c>
      <c r="AM72" s="7">
        <v>0</v>
      </c>
    </row>
    <row r="74" spans="26:39" x14ac:dyDescent="0.2">
      <c r="AL74" s="7"/>
    </row>
  </sheetData>
  <mergeCells count="9">
    <mergeCell ref="Z65:Z72"/>
    <mergeCell ref="D4:I4"/>
    <mergeCell ref="K4:N4"/>
    <mergeCell ref="AT24:AU24"/>
    <mergeCell ref="AL63:AM63"/>
    <mergeCell ref="AA1:AD1"/>
    <mergeCell ref="AE1:AH1"/>
    <mergeCell ref="AI1:AL1"/>
    <mergeCell ref="AM1:AP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EEE0-D465-A247-A044-4868CA10D9FF}">
  <dimension ref="A1:AD97"/>
  <sheetViews>
    <sheetView tabSelected="1" topLeftCell="H1" workbookViewId="0">
      <selection activeCell="K1" sqref="K1:M2"/>
    </sheetView>
  </sheetViews>
  <sheetFormatPr baseColWidth="10" defaultColWidth="8.83203125" defaultRowHeight="15" x14ac:dyDescent="0.2"/>
  <cols>
    <col min="1" max="1" width="5.1640625" style="6" bestFit="1" customWidth="1"/>
    <col min="2" max="2" width="10.1640625" style="6" bestFit="1" customWidth="1"/>
    <col min="3" max="3" width="9.33203125" style="6" bestFit="1" customWidth="1"/>
    <col min="4" max="4" width="14.1640625" style="6" bestFit="1" customWidth="1"/>
    <col min="5" max="5" width="7" style="6" bestFit="1" customWidth="1"/>
    <col min="6" max="6" width="16.5" style="6" bestFit="1" customWidth="1"/>
    <col min="7" max="7" width="8.5" style="6" bestFit="1" customWidth="1"/>
    <col min="8" max="8" width="10.1640625" style="6" bestFit="1" customWidth="1"/>
    <col min="9" max="16384" width="8.83203125" style="6"/>
  </cols>
  <sheetData>
    <row r="1" spans="1:30" x14ac:dyDescent="0.2">
      <c r="A1" s="6" t="s">
        <v>667</v>
      </c>
      <c r="B1" s="6" t="s">
        <v>666</v>
      </c>
      <c r="C1" s="6" t="s">
        <v>665</v>
      </c>
      <c r="D1" s="6" t="s">
        <v>664</v>
      </c>
      <c r="E1" s="6" t="s">
        <v>663</v>
      </c>
      <c r="F1" s="6" t="s">
        <v>662</v>
      </c>
      <c r="G1" s="6" t="s">
        <v>661</v>
      </c>
      <c r="H1" s="6" t="s">
        <v>660</v>
      </c>
      <c r="K1" s="192" t="s">
        <v>682</v>
      </c>
      <c r="L1" s="192"/>
      <c r="M1" s="192"/>
    </row>
    <row r="2" spans="1:30" x14ac:dyDescent="0.2">
      <c r="A2" s="6" t="s">
        <v>654</v>
      </c>
      <c r="B2" s="6" t="s">
        <v>630</v>
      </c>
      <c r="C2" s="6">
        <v>1</v>
      </c>
      <c r="D2" s="6">
        <v>1770.2449999999999</v>
      </c>
      <c r="E2" s="6" t="s">
        <v>669</v>
      </c>
      <c r="F2" s="6" t="s">
        <v>669</v>
      </c>
      <c r="G2" s="6">
        <v>0.98599999999999999</v>
      </c>
      <c r="H2" s="6">
        <v>-3.238</v>
      </c>
      <c r="K2" s="192" t="s">
        <v>681</v>
      </c>
      <c r="L2" s="192"/>
      <c r="M2" s="192"/>
    </row>
    <row r="3" spans="1:30" x14ac:dyDescent="0.2">
      <c r="A3" s="6" t="s">
        <v>643</v>
      </c>
      <c r="B3" s="6" t="s">
        <v>630</v>
      </c>
      <c r="C3" s="6">
        <v>1</v>
      </c>
      <c r="D3" s="6">
        <v>1770.2449999999999</v>
      </c>
      <c r="E3" s="6" t="s">
        <v>669</v>
      </c>
      <c r="F3" s="6" t="s">
        <v>669</v>
      </c>
      <c r="G3" s="6">
        <v>0.98599999999999999</v>
      </c>
      <c r="H3" s="6">
        <v>-3.238</v>
      </c>
    </row>
    <row r="4" spans="1:30" x14ac:dyDescent="0.2">
      <c r="A4" s="6" t="s">
        <v>642</v>
      </c>
      <c r="B4" s="6" t="s">
        <v>630</v>
      </c>
      <c r="C4" s="6">
        <v>1</v>
      </c>
      <c r="D4" s="6">
        <v>1770.2449999999999</v>
      </c>
      <c r="E4" s="6" t="s">
        <v>669</v>
      </c>
      <c r="F4" s="6" t="s">
        <v>669</v>
      </c>
      <c r="G4" s="6">
        <v>0.98599999999999999</v>
      </c>
      <c r="H4" s="6">
        <v>-3.238</v>
      </c>
    </row>
    <row r="5" spans="1:30" x14ac:dyDescent="0.2">
      <c r="A5" s="6" t="s">
        <v>655</v>
      </c>
      <c r="B5" s="6" t="s">
        <v>668</v>
      </c>
      <c r="C5" s="6">
        <v>2</v>
      </c>
      <c r="D5" s="6">
        <v>1770.2449999999999</v>
      </c>
      <c r="E5" s="6" t="s">
        <v>669</v>
      </c>
      <c r="F5" s="6" t="s">
        <v>669</v>
      </c>
      <c r="G5" s="6">
        <v>0.98599999999999999</v>
      </c>
      <c r="H5" s="6">
        <v>-3.238</v>
      </c>
    </row>
    <row r="6" spans="1:30" x14ac:dyDescent="0.2">
      <c r="A6" s="6" t="s">
        <v>652</v>
      </c>
      <c r="B6" s="6" t="s">
        <v>630</v>
      </c>
      <c r="C6" s="6">
        <v>3</v>
      </c>
      <c r="D6" s="6">
        <v>1770.2449999999999</v>
      </c>
      <c r="E6" s="6">
        <v>33.479999999999997</v>
      </c>
      <c r="F6" s="49">
        <v>12.08</v>
      </c>
      <c r="G6" s="6">
        <v>0.98599999999999999</v>
      </c>
      <c r="H6" s="6">
        <v>-3.238</v>
      </c>
    </row>
    <row r="7" spans="1:30" x14ac:dyDescent="0.2">
      <c r="A7" s="6" t="s">
        <v>641</v>
      </c>
      <c r="B7" s="6" t="s">
        <v>630</v>
      </c>
      <c r="C7" s="6">
        <v>3</v>
      </c>
      <c r="D7" s="6">
        <v>1770.2449999999999</v>
      </c>
      <c r="E7" s="6">
        <v>35.479999999999997</v>
      </c>
      <c r="F7" s="6">
        <v>2.92</v>
      </c>
      <c r="G7" s="6">
        <v>0.98599999999999999</v>
      </c>
      <c r="H7" s="6">
        <v>-3.238</v>
      </c>
    </row>
    <row r="8" spans="1:30" x14ac:dyDescent="0.2">
      <c r="A8" s="6" t="s">
        <v>640</v>
      </c>
      <c r="B8" s="6" t="s">
        <v>630</v>
      </c>
      <c r="C8" s="6">
        <v>3</v>
      </c>
      <c r="D8" s="6">
        <v>1770.2449999999999</v>
      </c>
      <c r="E8" s="6">
        <v>33.47</v>
      </c>
      <c r="F8" s="49">
        <v>12.2</v>
      </c>
      <c r="G8" s="6">
        <v>0.98599999999999999</v>
      </c>
      <c r="H8" s="6">
        <v>-3.238</v>
      </c>
    </row>
    <row r="9" spans="1:30" x14ac:dyDescent="0.2">
      <c r="A9" s="6" t="s">
        <v>653</v>
      </c>
      <c r="B9" s="6" t="s">
        <v>668</v>
      </c>
      <c r="C9" s="6">
        <v>4</v>
      </c>
      <c r="D9" s="6">
        <v>1770.2449999999999</v>
      </c>
      <c r="E9" s="6">
        <v>38.950000000000003</v>
      </c>
      <c r="F9" s="49">
        <v>0.24759999999999999</v>
      </c>
      <c r="G9" s="6">
        <v>0.98599999999999999</v>
      </c>
      <c r="H9" s="6">
        <v>-3.238</v>
      </c>
    </row>
    <row r="10" spans="1:30" x14ac:dyDescent="0.2">
      <c r="A10" s="6" t="s">
        <v>650</v>
      </c>
      <c r="B10" s="6" t="s">
        <v>630</v>
      </c>
      <c r="C10" s="6">
        <v>5</v>
      </c>
      <c r="D10" s="6">
        <v>1770.2449999999999</v>
      </c>
      <c r="E10" s="6">
        <v>30.93</v>
      </c>
      <c r="F10" s="49">
        <v>74.13</v>
      </c>
      <c r="G10" s="6">
        <v>0.98599999999999999</v>
      </c>
      <c r="H10" s="6">
        <v>-3.238</v>
      </c>
    </row>
    <row r="11" spans="1:30" x14ac:dyDescent="0.2">
      <c r="A11" s="6" t="s">
        <v>634</v>
      </c>
      <c r="B11" s="6" t="s">
        <v>630</v>
      </c>
      <c r="C11" s="6">
        <v>5</v>
      </c>
      <c r="D11" s="6">
        <v>1770.2449999999999</v>
      </c>
      <c r="E11" s="6">
        <v>31.62</v>
      </c>
      <c r="F11" s="49">
        <v>45.39</v>
      </c>
      <c r="G11" s="6">
        <v>0.98599999999999999</v>
      </c>
      <c r="H11" s="6">
        <v>-3.238</v>
      </c>
    </row>
    <row r="12" spans="1:30" x14ac:dyDescent="0.2">
      <c r="A12" s="6" t="s">
        <v>633</v>
      </c>
      <c r="B12" s="6" t="s">
        <v>630</v>
      </c>
      <c r="C12" s="6">
        <v>5</v>
      </c>
      <c r="D12" s="6">
        <v>1770.2449999999999</v>
      </c>
      <c r="E12" s="6">
        <v>31.58</v>
      </c>
      <c r="F12" s="49">
        <v>46.73</v>
      </c>
      <c r="G12" s="6">
        <v>0.98599999999999999</v>
      </c>
      <c r="H12" s="6">
        <v>-3.238</v>
      </c>
      <c r="M12" s="117" t="s">
        <v>9</v>
      </c>
      <c r="N12" s="117"/>
      <c r="O12" s="117"/>
      <c r="P12" s="117"/>
      <c r="Q12" s="117"/>
      <c r="R12" s="117"/>
      <c r="S12" s="117"/>
      <c r="T12" s="117"/>
      <c r="U12" s="117"/>
      <c r="V12" s="117" t="s">
        <v>8</v>
      </c>
      <c r="W12" s="117"/>
      <c r="X12" s="117"/>
      <c r="Y12" s="117"/>
      <c r="Z12" s="117"/>
      <c r="AA12" s="117"/>
      <c r="AB12" s="117"/>
      <c r="AC12" s="117"/>
      <c r="AD12" s="117"/>
    </row>
    <row r="13" spans="1:30" x14ac:dyDescent="0.2">
      <c r="A13" s="6" t="s">
        <v>651</v>
      </c>
      <c r="B13" s="6" t="s">
        <v>668</v>
      </c>
      <c r="C13" s="6">
        <v>6</v>
      </c>
      <c r="D13" s="6">
        <v>1770.2449999999999</v>
      </c>
      <c r="E13" s="6">
        <v>37.42</v>
      </c>
      <c r="F13" s="49">
        <v>0.73660000000000003</v>
      </c>
      <c r="G13" s="6">
        <v>0.98599999999999999</v>
      </c>
      <c r="H13" s="6">
        <v>-3.238</v>
      </c>
      <c r="M13" s="3" t="s">
        <v>181</v>
      </c>
      <c r="N13" s="3" t="s">
        <v>639</v>
      </c>
      <c r="O13" s="3" t="s">
        <v>638</v>
      </c>
      <c r="P13" s="3" t="s">
        <v>637</v>
      </c>
      <c r="Q13" s="3" t="s">
        <v>636</v>
      </c>
      <c r="R13" s="3" t="s">
        <v>635</v>
      </c>
      <c r="S13" s="3"/>
      <c r="T13" s="3"/>
      <c r="U13" s="3"/>
      <c r="V13" s="3" t="s">
        <v>181</v>
      </c>
      <c r="W13" s="3" t="s">
        <v>639</v>
      </c>
      <c r="X13" s="3" t="s">
        <v>638</v>
      </c>
      <c r="Y13" s="3" t="s">
        <v>637</v>
      </c>
      <c r="Z13" s="3" t="s">
        <v>636</v>
      </c>
      <c r="AA13" s="3" t="s">
        <v>635</v>
      </c>
      <c r="AB13" s="3"/>
      <c r="AC13" s="3"/>
      <c r="AD13" s="3"/>
    </row>
    <row r="14" spans="1:30" x14ac:dyDescent="0.2">
      <c r="A14" s="6" t="s">
        <v>648</v>
      </c>
      <c r="B14" s="6" t="s">
        <v>630</v>
      </c>
      <c r="C14" s="6">
        <v>7</v>
      </c>
      <c r="D14" s="6">
        <v>1770.2449999999999</v>
      </c>
      <c r="E14" s="6">
        <v>30.04</v>
      </c>
      <c r="F14" s="49">
        <v>140.30000000000001</v>
      </c>
      <c r="G14" s="6">
        <v>0.98599999999999999</v>
      </c>
      <c r="H14" s="6">
        <v>-3.238</v>
      </c>
      <c r="L14" s="28" t="s">
        <v>620</v>
      </c>
      <c r="M14" s="6" t="s">
        <v>669</v>
      </c>
      <c r="N14" s="6">
        <v>33.479999999999997</v>
      </c>
      <c r="O14" s="6">
        <v>30.93</v>
      </c>
      <c r="P14" s="6">
        <v>30.04</v>
      </c>
      <c r="Q14" s="6">
        <v>29.27</v>
      </c>
      <c r="R14" s="6">
        <v>38.53</v>
      </c>
      <c r="V14" s="6" t="s">
        <v>669</v>
      </c>
      <c r="W14" s="6">
        <v>31.76</v>
      </c>
      <c r="X14" s="6">
        <v>30.72</v>
      </c>
      <c r="Y14" s="6">
        <v>29.39</v>
      </c>
      <c r="Z14" s="6">
        <v>29.18</v>
      </c>
      <c r="AA14" s="6">
        <v>39.049999999999997</v>
      </c>
    </row>
    <row r="15" spans="1:30" x14ac:dyDescent="0.2">
      <c r="A15" s="6" t="s">
        <v>632</v>
      </c>
      <c r="B15" s="6" t="s">
        <v>630</v>
      </c>
      <c r="C15" s="6">
        <v>7</v>
      </c>
      <c r="D15" s="6">
        <v>1770.2449999999999</v>
      </c>
      <c r="E15" s="6">
        <v>29.83</v>
      </c>
      <c r="F15" s="49">
        <v>162.80000000000001</v>
      </c>
      <c r="G15" s="6">
        <v>0.98599999999999999</v>
      </c>
      <c r="H15" s="6">
        <v>-3.238</v>
      </c>
      <c r="L15" s="28" t="s">
        <v>620</v>
      </c>
      <c r="M15" s="6" t="s">
        <v>669</v>
      </c>
      <c r="N15" s="6">
        <v>35.479999999999997</v>
      </c>
      <c r="O15" s="6">
        <v>31.62</v>
      </c>
      <c r="P15" s="6">
        <v>29.83</v>
      </c>
      <c r="Q15" s="6">
        <v>29.51</v>
      </c>
      <c r="R15" s="6">
        <v>37.81</v>
      </c>
      <c r="V15" s="6" t="s">
        <v>669</v>
      </c>
      <c r="W15" s="6">
        <v>31.07</v>
      </c>
      <c r="X15" s="6">
        <v>31.06</v>
      </c>
      <c r="Y15" s="6">
        <v>29.92</v>
      </c>
      <c r="Z15" s="6">
        <v>29.03</v>
      </c>
      <c r="AA15" s="6" t="s">
        <v>669</v>
      </c>
    </row>
    <row r="16" spans="1:30" x14ac:dyDescent="0.2">
      <c r="A16" s="6" t="s">
        <v>631</v>
      </c>
      <c r="B16" s="6" t="s">
        <v>630</v>
      </c>
      <c r="C16" s="6">
        <v>7</v>
      </c>
      <c r="D16" s="6">
        <v>1770.2449999999999</v>
      </c>
      <c r="E16" s="6">
        <v>29.98</v>
      </c>
      <c r="F16" s="49">
        <v>145.9</v>
      </c>
      <c r="G16" s="6">
        <v>0.98599999999999999</v>
      </c>
      <c r="H16" s="6">
        <v>-3.238</v>
      </c>
      <c r="L16" s="28" t="s">
        <v>620</v>
      </c>
      <c r="M16" s="6" t="s">
        <v>669</v>
      </c>
      <c r="N16" s="6">
        <v>33.47</v>
      </c>
      <c r="O16" s="6">
        <v>31.58</v>
      </c>
      <c r="P16" s="6">
        <v>29.98</v>
      </c>
      <c r="Q16" s="6">
        <v>29.49</v>
      </c>
      <c r="R16" s="6">
        <v>39.01</v>
      </c>
      <c r="V16" s="6" t="s">
        <v>669</v>
      </c>
      <c r="W16" s="6">
        <v>31.92</v>
      </c>
      <c r="X16" s="6">
        <v>30.92</v>
      </c>
      <c r="Y16" s="6">
        <v>29.59</v>
      </c>
      <c r="Z16" s="6">
        <v>28.79</v>
      </c>
      <c r="AA16" s="6">
        <v>38.049999999999997</v>
      </c>
    </row>
    <row r="17" spans="1:30" x14ac:dyDescent="0.2">
      <c r="A17" s="6" t="s">
        <v>649</v>
      </c>
      <c r="B17" s="6" t="s">
        <v>668</v>
      </c>
      <c r="C17" s="6">
        <v>8</v>
      </c>
      <c r="D17" s="6">
        <v>1770.2449999999999</v>
      </c>
      <c r="E17" s="6">
        <v>35.75</v>
      </c>
      <c r="F17" s="6">
        <v>2.42</v>
      </c>
      <c r="G17" s="6">
        <v>0.98599999999999999</v>
      </c>
      <c r="H17" s="6">
        <v>-3.238</v>
      </c>
      <c r="L17" s="28" t="s">
        <v>12</v>
      </c>
      <c r="N17" s="6">
        <f>AVERAGE(N14:N16)</f>
        <v>34.143333333333331</v>
      </c>
      <c r="O17" s="6">
        <f>AVERAGE(O14:O16)</f>
        <v>31.376666666666665</v>
      </c>
      <c r="P17" s="6">
        <f>AVERAGE(P14:P16)</f>
        <v>29.95</v>
      </c>
      <c r="Q17" s="6">
        <f>AVERAGE(Q14:Q16)</f>
        <v>29.423333333333332</v>
      </c>
      <c r="R17" s="6">
        <f>AVERAGE(R14:R16)</f>
        <v>38.449999999999996</v>
      </c>
      <c r="W17" s="6">
        <f>AVERAGE(W14:W16)</f>
        <v>31.583333333333332</v>
      </c>
      <c r="X17" s="6">
        <f>AVERAGE(X14:X16)</f>
        <v>30.900000000000002</v>
      </c>
      <c r="Y17" s="6">
        <f>AVERAGE(Y14:Y16)</f>
        <v>29.633333333333336</v>
      </c>
      <c r="Z17" s="6">
        <f>AVERAGE(Z14:Z16)</f>
        <v>29</v>
      </c>
      <c r="AA17" s="6">
        <f>AVERAGE(AA14:AA16)</f>
        <v>38.549999999999997</v>
      </c>
    </row>
    <row r="18" spans="1:30" x14ac:dyDescent="0.2">
      <c r="A18" s="6" t="s">
        <v>623</v>
      </c>
      <c r="B18" s="6" t="s">
        <v>630</v>
      </c>
      <c r="C18" s="6">
        <v>9</v>
      </c>
      <c r="D18" s="6">
        <v>1770.2449999999999</v>
      </c>
      <c r="E18" s="6">
        <v>29.27</v>
      </c>
      <c r="F18" s="49">
        <v>241.9</v>
      </c>
      <c r="G18" s="6">
        <v>0.98599999999999999</v>
      </c>
      <c r="H18" s="6">
        <v>-3.238</v>
      </c>
      <c r="L18" s="28" t="s">
        <v>679</v>
      </c>
      <c r="M18" s="3"/>
      <c r="N18" s="3">
        <f>-1.0166*N17+37.666</f>
        <v>2.9558873333333366</v>
      </c>
      <c r="O18" s="3">
        <f>-1.0166*O17+37.666</f>
        <v>5.7684806666666653</v>
      </c>
      <c r="P18" s="3">
        <f>-1.0166*P17+37.666</f>
        <v>7.2188300000000005</v>
      </c>
      <c r="Q18" s="3">
        <f>-1.0166*Q17+37.666</f>
        <v>7.7542393333333344</v>
      </c>
      <c r="R18" s="3" t="s">
        <v>678</v>
      </c>
      <c r="S18" s="3"/>
      <c r="T18" s="3"/>
      <c r="U18" s="3"/>
      <c r="V18" s="3"/>
      <c r="W18" s="3">
        <f>-1.0166*W17+37.666</f>
        <v>5.5583833333333317</v>
      </c>
      <c r="X18" s="3">
        <f>-1.0166*X17+37.666</f>
        <v>6.2530599999999978</v>
      </c>
      <c r="Y18" s="3">
        <f>-1.0166*Y17+37.666</f>
        <v>7.5407533333333276</v>
      </c>
      <c r="Z18" s="3">
        <f>-1.0166*Z17+37.666</f>
        <v>8.1845999999999997</v>
      </c>
      <c r="AA18" s="3" t="s">
        <v>678</v>
      </c>
      <c r="AB18" s="3"/>
      <c r="AC18" s="3"/>
      <c r="AD18" s="3"/>
    </row>
    <row r="19" spans="1:30" x14ac:dyDescent="0.2">
      <c r="A19" s="6" t="s">
        <v>615</v>
      </c>
      <c r="B19" s="6" t="s">
        <v>630</v>
      </c>
      <c r="C19" s="6">
        <v>9</v>
      </c>
      <c r="D19" s="6">
        <v>1770.2449999999999</v>
      </c>
      <c r="E19" s="6">
        <v>29.51</v>
      </c>
      <c r="F19" s="49">
        <v>203.8</v>
      </c>
      <c r="G19" s="6">
        <v>0.98599999999999999</v>
      </c>
      <c r="H19" s="6">
        <v>-3.238</v>
      </c>
      <c r="L19" s="28" t="s">
        <v>677</v>
      </c>
      <c r="N19" s="6">
        <f>2^N18*10</f>
        <v>77.590893162333373</v>
      </c>
      <c r="O19" s="6">
        <f>2^O18*10</f>
        <v>545.11195915550809</v>
      </c>
      <c r="P19" s="6">
        <f>2^P18*10</f>
        <v>1489.6504207042103</v>
      </c>
      <c r="Q19" s="6">
        <f>2^Q18*10</f>
        <v>2159.0297809467693</v>
      </c>
      <c r="W19" s="6">
        <f>2^W18*10</f>
        <v>471.23779016644266</v>
      </c>
      <c r="X19" s="6">
        <f>2^X18*10</f>
        <v>762.70856722537269</v>
      </c>
      <c r="Y19" s="6">
        <f>2^Y18*10</f>
        <v>1862.0568802300502</v>
      </c>
      <c r="Z19" s="6">
        <f>2^Z18*10</f>
        <v>2909.4446702976566</v>
      </c>
    </row>
    <row r="20" spans="1:30" x14ac:dyDescent="0.2">
      <c r="A20" s="6" t="s">
        <v>609</v>
      </c>
      <c r="B20" s="6" t="s">
        <v>630</v>
      </c>
      <c r="C20" s="6">
        <v>9</v>
      </c>
      <c r="D20" s="6">
        <v>1770.2449999999999</v>
      </c>
      <c r="E20" s="6">
        <v>29.49</v>
      </c>
      <c r="F20" s="49">
        <v>207.4</v>
      </c>
      <c r="G20" s="6">
        <v>0.98599999999999999</v>
      </c>
      <c r="H20" s="6">
        <v>-3.238</v>
      </c>
      <c r="L20" s="28" t="s">
        <v>676</v>
      </c>
      <c r="M20" s="190"/>
      <c r="N20" s="190">
        <v>3694.0474686172502</v>
      </c>
      <c r="O20" s="190">
        <v>1822.886081444748</v>
      </c>
      <c r="P20" s="190">
        <v>3974.9739483181875</v>
      </c>
      <c r="Q20" s="190">
        <v>6191.1606924160897</v>
      </c>
      <c r="R20" s="190">
        <v>4936.0872821741705</v>
      </c>
      <c r="S20" s="190">
        <v>5382.7256874237628</v>
      </c>
      <c r="T20" s="190"/>
      <c r="U20" s="190"/>
      <c r="V20" s="190"/>
      <c r="W20" s="6">
        <v>10692.119079223348</v>
      </c>
      <c r="X20" s="6">
        <v>8190.5248623780681</v>
      </c>
      <c r="Y20" s="6">
        <v>5639.7370729698468</v>
      </c>
      <c r="Z20" s="6">
        <v>9739.8118633183094</v>
      </c>
      <c r="AA20" s="6">
        <v>6819.1806530363492</v>
      </c>
      <c r="AB20" s="6">
        <v>22551.193835933878</v>
      </c>
      <c r="AC20" s="190"/>
      <c r="AD20" s="190"/>
    </row>
    <row r="21" spans="1:30" x14ac:dyDescent="0.2">
      <c r="A21" s="6" t="s">
        <v>629</v>
      </c>
      <c r="B21" s="6" t="s">
        <v>668</v>
      </c>
      <c r="C21" s="6">
        <v>10</v>
      </c>
      <c r="D21" s="6">
        <v>1770.2449999999999</v>
      </c>
      <c r="E21" s="6">
        <v>35.479999999999997</v>
      </c>
      <c r="F21" s="6">
        <v>2.92</v>
      </c>
      <c r="G21" s="6">
        <v>0.98599999999999999</v>
      </c>
      <c r="H21" s="6">
        <v>-3.238</v>
      </c>
      <c r="L21" s="44" t="s">
        <v>675</v>
      </c>
      <c r="M21" s="45"/>
      <c r="N21" s="45">
        <f>N19/N20*1000000</f>
        <v>21004.303226070097</v>
      </c>
      <c r="O21" s="45">
        <f>O19/O20*1000000</f>
        <v>299037.8634760729</v>
      </c>
      <c r="P21" s="45">
        <f>P19/P20*1000000</f>
        <v>374757.27893373533</v>
      </c>
      <c r="Q21" s="45">
        <f>Q19/Q20*1000000</f>
        <v>348727.78921592032</v>
      </c>
      <c r="R21" s="45"/>
      <c r="S21" s="45"/>
      <c r="T21" s="45"/>
      <c r="U21" s="45"/>
      <c r="V21" s="45"/>
      <c r="W21" s="45">
        <f>W19/W20*1000000</f>
        <v>44073.376537878248</v>
      </c>
      <c r="X21" s="45">
        <f>X19/X20*1000000</f>
        <v>93120.84146508835</v>
      </c>
      <c r="Y21" s="45">
        <f>Y19/Y20*1000000</f>
        <v>330167.32094737602</v>
      </c>
      <c r="Z21" s="45">
        <f>Z19/Z20*1000000</f>
        <v>298716.7217526132</v>
      </c>
      <c r="AA21" s="45">
        <f>AA19/AA20*1000000</f>
        <v>0</v>
      </c>
      <c r="AB21" s="45"/>
      <c r="AC21" s="45"/>
      <c r="AD21" s="45"/>
    </row>
    <row r="22" spans="1:30" x14ac:dyDescent="0.2">
      <c r="A22" s="6" t="s">
        <v>622</v>
      </c>
      <c r="B22" s="6" t="s">
        <v>630</v>
      </c>
      <c r="C22" s="6">
        <v>11</v>
      </c>
      <c r="D22" s="6">
        <v>1770.2449999999999</v>
      </c>
      <c r="E22" s="6">
        <v>38.53</v>
      </c>
      <c r="F22" s="49">
        <v>0.33329999999999999</v>
      </c>
      <c r="G22" s="6">
        <v>0.98599999999999999</v>
      </c>
      <c r="H22" s="6">
        <v>-3.238</v>
      </c>
    </row>
    <row r="23" spans="1:30" x14ac:dyDescent="0.2">
      <c r="A23" s="6" t="s">
        <v>614</v>
      </c>
      <c r="B23" s="6" t="s">
        <v>630</v>
      </c>
      <c r="C23" s="6">
        <v>11</v>
      </c>
      <c r="D23" s="6">
        <v>1770.2449999999999</v>
      </c>
      <c r="E23" s="6">
        <v>37.81</v>
      </c>
      <c r="F23" s="49">
        <v>0.55559999999999998</v>
      </c>
      <c r="G23" s="6">
        <v>0.98599999999999999</v>
      </c>
      <c r="H23" s="6">
        <v>-3.238</v>
      </c>
      <c r="L23" s="28" t="s">
        <v>674</v>
      </c>
      <c r="M23" s="6" t="s">
        <v>669</v>
      </c>
      <c r="N23" s="6">
        <v>38.950000000000003</v>
      </c>
      <c r="O23" s="6">
        <v>37.42</v>
      </c>
      <c r="P23" s="6">
        <v>35.75</v>
      </c>
      <c r="Q23" s="6">
        <v>35.479999999999997</v>
      </c>
      <c r="R23" s="6">
        <v>38.43</v>
      </c>
      <c r="V23" s="6" t="s">
        <v>669</v>
      </c>
      <c r="W23" s="6">
        <v>37.72</v>
      </c>
      <c r="X23" s="6">
        <v>36.43</v>
      </c>
      <c r="Y23" s="6">
        <v>35.25</v>
      </c>
      <c r="Z23" s="6">
        <v>34.69</v>
      </c>
      <c r="AA23" s="6">
        <v>38.979999999999997</v>
      </c>
    </row>
    <row r="24" spans="1:30" x14ac:dyDescent="0.2">
      <c r="A24" s="6" t="s">
        <v>608</v>
      </c>
      <c r="B24" s="6" t="s">
        <v>630</v>
      </c>
      <c r="C24" s="6">
        <v>11</v>
      </c>
      <c r="D24" s="6">
        <v>1770.2449999999999</v>
      </c>
      <c r="E24" s="6">
        <v>39.01</v>
      </c>
      <c r="F24" s="49">
        <v>0.23799999999999999</v>
      </c>
      <c r="G24" s="6">
        <v>0.98599999999999999</v>
      </c>
      <c r="H24" s="6">
        <v>-3.238</v>
      </c>
      <c r="L24" s="189" t="s">
        <v>673</v>
      </c>
      <c r="M24" s="27"/>
      <c r="N24" s="27" t="s">
        <v>672</v>
      </c>
      <c r="O24" s="27" t="s">
        <v>672</v>
      </c>
      <c r="P24" s="27" t="s">
        <v>672</v>
      </c>
      <c r="Q24" s="27" t="s">
        <v>672</v>
      </c>
      <c r="R24" s="27" t="s">
        <v>671</v>
      </c>
      <c r="S24" s="27"/>
      <c r="T24" s="27"/>
      <c r="U24" s="27"/>
      <c r="V24" s="27"/>
      <c r="W24" s="27" t="s">
        <v>672</v>
      </c>
      <c r="X24" s="27" t="s">
        <v>672</v>
      </c>
      <c r="Y24" s="27" t="s">
        <v>672</v>
      </c>
      <c r="Z24" s="27" t="s">
        <v>672</v>
      </c>
      <c r="AA24" s="27" t="s">
        <v>671</v>
      </c>
      <c r="AB24" s="27"/>
      <c r="AC24" s="27"/>
      <c r="AD24" s="27"/>
    </row>
    <row r="25" spans="1:30" x14ac:dyDescent="0.2">
      <c r="A25" s="6" t="s">
        <v>628</v>
      </c>
      <c r="B25" s="6" t="s">
        <v>668</v>
      </c>
      <c r="C25" s="6">
        <v>12</v>
      </c>
      <c r="D25" s="6">
        <v>1770.2449999999999</v>
      </c>
      <c r="E25" s="6">
        <v>38.43</v>
      </c>
      <c r="F25" s="49">
        <v>0.35909999999999997</v>
      </c>
      <c r="G25" s="6">
        <v>0.98599999999999999</v>
      </c>
      <c r="H25" s="6">
        <v>-3.238</v>
      </c>
    </row>
    <row r="26" spans="1:30" x14ac:dyDescent="0.2">
      <c r="A26" s="6" t="s">
        <v>589</v>
      </c>
      <c r="B26" s="6" t="s">
        <v>630</v>
      </c>
      <c r="C26" s="6">
        <v>13</v>
      </c>
      <c r="D26" s="6">
        <v>1770.2449999999999</v>
      </c>
      <c r="E26" s="6" t="s">
        <v>669</v>
      </c>
      <c r="F26" s="6" t="s">
        <v>669</v>
      </c>
      <c r="G26" s="6">
        <v>0.98599999999999999</v>
      </c>
      <c r="H26" s="6">
        <v>-3.238</v>
      </c>
    </row>
    <row r="27" spans="1:30" x14ac:dyDescent="0.2">
      <c r="A27" s="6" t="s">
        <v>577</v>
      </c>
      <c r="B27" s="6" t="s">
        <v>630</v>
      </c>
      <c r="C27" s="6">
        <v>13</v>
      </c>
      <c r="D27" s="6">
        <v>1770.2449999999999</v>
      </c>
      <c r="E27" s="6" t="s">
        <v>669</v>
      </c>
      <c r="F27" s="6" t="s">
        <v>669</v>
      </c>
      <c r="G27" s="6">
        <v>0.98599999999999999</v>
      </c>
      <c r="H27" s="6">
        <v>-3.238</v>
      </c>
    </row>
    <row r="28" spans="1:30" x14ac:dyDescent="0.2">
      <c r="A28" s="6" t="s">
        <v>565</v>
      </c>
      <c r="B28" s="6" t="s">
        <v>630</v>
      </c>
      <c r="C28" s="6">
        <v>13</v>
      </c>
      <c r="D28" s="6">
        <v>1770.2449999999999</v>
      </c>
      <c r="E28" s="6" t="s">
        <v>669</v>
      </c>
      <c r="F28" s="6" t="s">
        <v>669</v>
      </c>
      <c r="G28" s="6">
        <v>0.98599999999999999</v>
      </c>
      <c r="H28" s="6">
        <v>-3.238</v>
      </c>
    </row>
    <row r="29" spans="1:30" x14ac:dyDescent="0.2">
      <c r="A29" s="6" t="s">
        <v>601</v>
      </c>
      <c r="B29" s="6" t="s">
        <v>668</v>
      </c>
      <c r="C29" s="6">
        <v>14</v>
      </c>
      <c r="D29" s="6">
        <v>1770.2449999999999</v>
      </c>
      <c r="E29" s="6" t="s">
        <v>669</v>
      </c>
      <c r="F29" s="6" t="s">
        <v>669</v>
      </c>
      <c r="G29" s="6">
        <v>0.98599999999999999</v>
      </c>
      <c r="H29" s="6">
        <v>-3.238</v>
      </c>
    </row>
    <row r="30" spans="1:30" x14ac:dyDescent="0.2">
      <c r="A30" s="6" t="s">
        <v>588</v>
      </c>
      <c r="B30" s="6" t="s">
        <v>630</v>
      </c>
      <c r="C30" s="6">
        <v>15</v>
      </c>
      <c r="D30" s="6">
        <v>1770.2449999999999</v>
      </c>
      <c r="E30" s="6">
        <v>31.76</v>
      </c>
      <c r="F30" s="49">
        <v>41.14</v>
      </c>
      <c r="G30" s="6">
        <v>0.98599999999999999</v>
      </c>
      <c r="H30" s="6">
        <v>-3.238</v>
      </c>
    </row>
    <row r="31" spans="1:30" x14ac:dyDescent="0.2">
      <c r="A31" s="6" t="s">
        <v>576</v>
      </c>
      <c r="B31" s="6" t="s">
        <v>630</v>
      </c>
      <c r="C31" s="6">
        <v>15</v>
      </c>
      <c r="D31" s="6">
        <v>1770.2449999999999</v>
      </c>
      <c r="E31" s="6">
        <v>31.07</v>
      </c>
      <c r="F31" s="49">
        <v>67.430000000000007</v>
      </c>
      <c r="G31" s="6">
        <v>0.98599999999999999</v>
      </c>
      <c r="H31" s="6">
        <v>-3.238</v>
      </c>
    </row>
    <row r="32" spans="1:30" x14ac:dyDescent="0.2">
      <c r="A32" s="6" t="s">
        <v>564</v>
      </c>
      <c r="B32" s="6" t="s">
        <v>630</v>
      </c>
      <c r="C32" s="6">
        <v>15</v>
      </c>
      <c r="D32" s="6">
        <v>1770.2449999999999</v>
      </c>
      <c r="E32" s="6">
        <v>31.92</v>
      </c>
      <c r="F32" s="49">
        <v>36.76</v>
      </c>
      <c r="G32" s="6">
        <v>0.98599999999999999</v>
      </c>
      <c r="H32" s="6">
        <v>-3.238</v>
      </c>
    </row>
    <row r="33" spans="1:17" x14ac:dyDescent="0.2">
      <c r="A33" s="6" t="s">
        <v>600</v>
      </c>
      <c r="B33" s="6" t="s">
        <v>668</v>
      </c>
      <c r="C33" s="6">
        <v>16</v>
      </c>
      <c r="D33" s="6">
        <v>1770.2449999999999</v>
      </c>
      <c r="E33" s="6">
        <v>37.72</v>
      </c>
      <c r="F33" s="49">
        <v>0.59370000000000001</v>
      </c>
      <c r="G33" s="6">
        <v>0.98599999999999999</v>
      </c>
      <c r="H33" s="6">
        <v>-3.238</v>
      </c>
      <c r="K33" s="117" t="s">
        <v>154</v>
      </c>
      <c r="L33" s="117"/>
      <c r="M33" s="117"/>
      <c r="N33" s="117"/>
      <c r="O33" s="117"/>
      <c r="P33" s="117"/>
      <c r="Q33" s="117"/>
    </row>
    <row r="34" spans="1:17" x14ac:dyDescent="0.2">
      <c r="A34" s="6" t="s">
        <v>587</v>
      </c>
      <c r="B34" s="6" t="s">
        <v>630</v>
      </c>
      <c r="C34" s="6">
        <v>17</v>
      </c>
      <c r="D34" s="6">
        <v>1770.2449999999999</v>
      </c>
      <c r="E34" s="6">
        <v>30.72</v>
      </c>
      <c r="F34" s="49">
        <v>86.48</v>
      </c>
      <c r="G34" s="6">
        <v>0.98599999999999999</v>
      </c>
      <c r="H34" s="6">
        <v>-3.238</v>
      </c>
      <c r="K34" s="28" t="s">
        <v>680</v>
      </c>
      <c r="L34" s="3">
        <v>20000</v>
      </c>
      <c r="M34" s="3">
        <v>2000</v>
      </c>
      <c r="N34" s="3">
        <v>200</v>
      </c>
      <c r="O34" s="3">
        <v>20</v>
      </c>
      <c r="P34" s="3">
        <v>10</v>
      </c>
      <c r="Q34" s="3">
        <v>1</v>
      </c>
    </row>
    <row r="35" spans="1:17" x14ac:dyDescent="0.2">
      <c r="A35" s="6" t="s">
        <v>575</v>
      </c>
      <c r="B35" s="6" t="s">
        <v>630</v>
      </c>
      <c r="C35" s="6">
        <v>17</v>
      </c>
      <c r="D35" s="6">
        <v>1770.2449999999999</v>
      </c>
      <c r="E35" s="6">
        <v>31.06</v>
      </c>
      <c r="F35" s="49">
        <v>67.739999999999995</v>
      </c>
      <c r="G35" s="6">
        <v>0.98599999999999999</v>
      </c>
      <c r="H35" s="6">
        <v>-3.238</v>
      </c>
      <c r="K35" s="28" t="s">
        <v>620</v>
      </c>
      <c r="L35" s="6">
        <v>24.02</v>
      </c>
      <c r="M35" s="6">
        <v>26.24</v>
      </c>
      <c r="N35" s="6">
        <v>29.01</v>
      </c>
      <c r="O35" s="6">
        <v>32.89</v>
      </c>
      <c r="P35" s="6">
        <v>33.85</v>
      </c>
      <c r="Q35" s="6">
        <v>36.6</v>
      </c>
    </row>
    <row r="36" spans="1:17" x14ac:dyDescent="0.2">
      <c r="A36" s="6" t="s">
        <v>563</v>
      </c>
      <c r="B36" s="6" t="s">
        <v>630</v>
      </c>
      <c r="C36" s="6">
        <v>17</v>
      </c>
      <c r="D36" s="6">
        <v>1770.2449999999999</v>
      </c>
      <c r="E36" s="6">
        <v>30.92</v>
      </c>
      <c r="F36" s="49">
        <v>74.849999999999994</v>
      </c>
      <c r="G36" s="6">
        <v>0.98599999999999999</v>
      </c>
      <c r="H36" s="6">
        <v>-3.238</v>
      </c>
      <c r="K36" s="28" t="s">
        <v>620</v>
      </c>
      <c r="L36" s="6">
        <v>23.31</v>
      </c>
      <c r="M36" s="6">
        <v>25.47</v>
      </c>
      <c r="N36" s="6">
        <v>28.86</v>
      </c>
      <c r="O36" s="6">
        <v>32.36</v>
      </c>
      <c r="P36" s="6">
        <v>34.549999999999997</v>
      </c>
      <c r="Q36" s="6">
        <v>37.67</v>
      </c>
    </row>
    <row r="37" spans="1:17" x14ac:dyDescent="0.2">
      <c r="A37" s="6" t="s">
        <v>599</v>
      </c>
      <c r="B37" s="6" t="s">
        <v>668</v>
      </c>
      <c r="C37" s="6">
        <v>18</v>
      </c>
      <c r="D37" s="6">
        <v>1770.2449999999999</v>
      </c>
      <c r="E37" s="6">
        <v>36.43</v>
      </c>
      <c r="F37" s="6">
        <v>1.48</v>
      </c>
      <c r="G37" s="6">
        <v>0.98599999999999999</v>
      </c>
      <c r="H37" s="6">
        <v>-3.238</v>
      </c>
      <c r="K37" s="28" t="s">
        <v>12</v>
      </c>
      <c r="L37" s="6">
        <f>AVERAGE(L35:L36)</f>
        <v>23.664999999999999</v>
      </c>
      <c r="M37" s="6">
        <f>AVERAGE(M35:M36)</f>
        <v>25.854999999999997</v>
      </c>
      <c r="N37" s="6">
        <f>AVERAGE(N35:N36)</f>
        <v>28.935000000000002</v>
      </c>
      <c r="O37" s="6">
        <f>AVERAGE(O35:O36)</f>
        <v>32.625</v>
      </c>
      <c r="P37" s="6">
        <f>AVERAGE(P35:P36)</f>
        <v>34.200000000000003</v>
      </c>
      <c r="Q37" s="6">
        <f>AVERAGE(Q35:Q36)</f>
        <v>37.135000000000005</v>
      </c>
    </row>
    <row r="38" spans="1:17" x14ac:dyDescent="0.2">
      <c r="A38" s="6" t="s">
        <v>586</v>
      </c>
      <c r="B38" s="6" t="s">
        <v>630</v>
      </c>
      <c r="C38" s="6">
        <v>19</v>
      </c>
      <c r="D38" s="6">
        <v>1770.2449999999999</v>
      </c>
      <c r="E38" s="6">
        <v>29.39</v>
      </c>
      <c r="F38" s="49">
        <v>221.2</v>
      </c>
      <c r="G38" s="6">
        <v>0.98599999999999999</v>
      </c>
      <c r="H38" s="6">
        <v>-3.238</v>
      </c>
      <c r="K38" s="28" t="s">
        <v>617</v>
      </c>
      <c r="L38" s="6">
        <f>LOG(L34,2)</f>
        <v>14.287712379549449</v>
      </c>
      <c r="M38" s="6">
        <f>LOG(M34,2)</f>
        <v>10.965784284662087</v>
      </c>
      <c r="N38" s="6">
        <f>LOG(N34,2)</f>
        <v>7.6438561897747244</v>
      </c>
      <c r="O38" s="6">
        <f>LOG(O34,2)</f>
        <v>4.3219280948873626</v>
      </c>
      <c r="P38" s="6">
        <f>LOG(P34,2)</f>
        <v>3.3219280948873626</v>
      </c>
      <c r="Q38" s="6">
        <f>LOG(Q34,2)</f>
        <v>0</v>
      </c>
    </row>
    <row r="39" spans="1:17" x14ac:dyDescent="0.2">
      <c r="A39" s="6" t="s">
        <v>574</v>
      </c>
      <c r="B39" s="6" t="s">
        <v>630</v>
      </c>
      <c r="C39" s="6">
        <v>19</v>
      </c>
      <c r="D39" s="6">
        <v>1770.2449999999999</v>
      </c>
      <c r="E39" s="6">
        <v>29.92</v>
      </c>
      <c r="F39" s="49">
        <v>151.9</v>
      </c>
      <c r="G39" s="6">
        <v>0.98599999999999999</v>
      </c>
      <c r="H39" s="6">
        <v>-3.238</v>
      </c>
    </row>
    <row r="40" spans="1:17" x14ac:dyDescent="0.2">
      <c r="A40" s="6" t="s">
        <v>562</v>
      </c>
      <c r="B40" s="6" t="s">
        <v>630</v>
      </c>
      <c r="C40" s="6">
        <v>19</v>
      </c>
      <c r="D40" s="6">
        <v>1770.2449999999999</v>
      </c>
      <c r="E40" s="6">
        <v>29.59</v>
      </c>
      <c r="F40" s="49">
        <v>192.2</v>
      </c>
      <c r="G40" s="6">
        <v>0.98599999999999999</v>
      </c>
      <c r="H40" s="6">
        <v>-3.238</v>
      </c>
    </row>
    <row r="41" spans="1:17" x14ac:dyDescent="0.2">
      <c r="A41" s="6" t="s">
        <v>598</v>
      </c>
      <c r="B41" s="6" t="s">
        <v>668</v>
      </c>
      <c r="C41" s="6">
        <v>20</v>
      </c>
      <c r="D41" s="6">
        <v>1770.2449999999999</v>
      </c>
      <c r="E41" s="6">
        <v>35.25</v>
      </c>
      <c r="F41" s="6">
        <v>3.44</v>
      </c>
      <c r="G41" s="6">
        <v>0.98599999999999999</v>
      </c>
      <c r="H41" s="6">
        <v>-3.238</v>
      </c>
    </row>
    <row r="42" spans="1:17" x14ac:dyDescent="0.2">
      <c r="A42" s="6" t="s">
        <v>585</v>
      </c>
      <c r="B42" s="6" t="s">
        <v>630</v>
      </c>
      <c r="C42" s="6">
        <v>21</v>
      </c>
      <c r="D42" s="6">
        <v>1770.2449999999999</v>
      </c>
      <c r="E42" s="6">
        <v>29.18</v>
      </c>
      <c r="F42" s="49">
        <v>258.60000000000002</v>
      </c>
      <c r="G42" s="6">
        <v>0.98599999999999999</v>
      </c>
      <c r="H42" s="6">
        <v>-3.238</v>
      </c>
    </row>
    <row r="43" spans="1:17" x14ac:dyDescent="0.2">
      <c r="A43" s="6" t="s">
        <v>573</v>
      </c>
      <c r="B43" s="6" t="s">
        <v>630</v>
      </c>
      <c r="C43" s="6">
        <v>21</v>
      </c>
      <c r="D43" s="6">
        <v>1770.2449999999999</v>
      </c>
      <c r="E43" s="6">
        <v>29.03</v>
      </c>
      <c r="F43" s="49">
        <v>286.2</v>
      </c>
      <c r="G43" s="6">
        <v>0.98599999999999999</v>
      </c>
      <c r="H43" s="6">
        <v>-3.238</v>
      </c>
    </row>
    <row r="44" spans="1:17" x14ac:dyDescent="0.2">
      <c r="A44" s="6" t="s">
        <v>561</v>
      </c>
      <c r="B44" s="6" t="s">
        <v>630</v>
      </c>
      <c r="C44" s="6">
        <v>21</v>
      </c>
      <c r="D44" s="6">
        <v>1770.2449999999999</v>
      </c>
      <c r="E44" s="6">
        <v>28.79</v>
      </c>
      <c r="F44" s="49">
        <v>340.4</v>
      </c>
      <c r="G44" s="6">
        <v>0.98599999999999999</v>
      </c>
      <c r="H44" s="6">
        <v>-3.238</v>
      </c>
    </row>
    <row r="45" spans="1:17" x14ac:dyDescent="0.2">
      <c r="A45" s="6" t="s">
        <v>597</v>
      </c>
      <c r="B45" s="6" t="s">
        <v>668</v>
      </c>
      <c r="C45" s="6">
        <v>22</v>
      </c>
      <c r="D45" s="6">
        <v>1770.2449999999999</v>
      </c>
      <c r="E45" s="6">
        <v>34.69</v>
      </c>
      <c r="F45" s="6">
        <v>5.12</v>
      </c>
      <c r="G45" s="6">
        <v>0.98599999999999999</v>
      </c>
      <c r="H45" s="6">
        <v>-3.238</v>
      </c>
    </row>
    <row r="46" spans="1:17" x14ac:dyDescent="0.2">
      <c r="A46" s="6" t="s">
        <v>584</v>
      </c>
      <c r="B46" s="6" t="s">
        <v>630</v>
      </c>
      <c r="C46" s="6">
        <v>23</v>
      </c>
      <c r="D46" s="6">
        <v>1770.2449999999999</v>
      </c>
      <c r="E46" s="6">
        <v>39.049999999999997</v>
      </c>
      <c r="F46" s="49">
        <v>0.23100000000000001</v>
      </c>
      <c r="G46" s="6">
        <v>0.98599999999999999</v>
      </c>
      <c r="H46" s="6">
        <v>-3.238</v>
      </c>
    </row>
    <row r="47" spans="1:17" x14ac:dyDescent="0.2">
      <c r="A47" s="6" t="s">
        <v>572</v>
      </c>
      <c r="B47" s="6" t="s">
        <v>630</v>
      </c>
      <c r="C47" s="6">
        <v>23</v>
      </c>
      <c r="D47" s="6">
        <v>1770.2449999999999</v>
      </c>
      <c r="E47" s="6" t="s">
        <v>669</v>
      </c>
      <c r="F47" s="6" t="s">
        <v>669</v>
      </c>
      <c r="G47" s="6">
        <v>0.98599999999999999</v>
      </c>
      <c r="H47" s="6">
        <v>-3.238</v>
      </c>
    </row>
    <row r="48" spans="1:17" x14ac:dyDescent="0.2">
      <c r="A48" s="6" t="s">
        <v>560</v>
      </c>
      <c r="B48" s="6" t="s">
        <v>630</v>
      </c>
      <c r="C48" s="6">
        <v>23</v>
      </c>
      <c r="D48" s="6">
        <v>1770.2449999999999</v>
      </c>
      <c r="E48" s="6">
        <v>38.049999999999997</v>
      </c>
      <c r="F48" s="49">
        <v>0.47010000000000002</v>
      </c>
      <c r="G48" s="6">
        <v>0.98599999999999999</v>
      </c>
      <c r="H48" s="6">
        <v>-3.238</v>
      </c>
    </row>
    <row r="49" spans="1:8" x14ac:dyDescent="0.2">
      <c r="A49" s="6" t="s">
        <v>596</v>
      </c>
      <c r="B49" s="6" t="s">
        <v>668</v>
      </c>
      <c r="C49" s="6">
        <v>24</v>
      </c>
      <c r="D49" s="6">
        <v>1770.2449999999999</v>
      </c>
      <c r="E49" s="6">
        <v>38.979999999999997</v>
      </c>
      <c r="F49" s="49">
        <v>0.2419</v>
      </c>
      <c r="G49" s="6">
        <v>0.98599999999999999</v>
      </c>
      <c r="H49" s="6">
        <v>-3.238</v>
      </c>
    </row>
    <row r="50" spans="1:8" x14ac:dyDescent="0.2">
      <c r="A50" s="6" t="s">
        <v>659</v>
      </c>
      <c r="B50" s="6" t="s">
        <v>33</v>
      </c>
      <c r="C50" s="6" t="s">
        <v>554</v>
      </c>
      <c r="D50" s="6">
        <v>1770.2449999999999</v>
      </c>
      <c r="E50" s="6">
        <v>24.02</v>
      </c>
      <c r="F50" s="49">
        <v>20000</v>
      </c>
      <c r="G50" s="6">
        <v>0.98599999999999999</v>
      </c>
      <c r="H50" s="6">
        <v>-3.238</v>
      </c>
    </row>
    <row r="51" spans="1:8" x14ac:dyDescent="0.2">
      <c r="A51" s="6" t="s">
        <v>657</v>
      </c>
      <c r="B51" s="6" t="s">
        <v>33</v>
      </c>
      <c r="C51" s="6" t="s">
        <v>554</v>
      </c>
      <c r="D51" s="6">
        <v>1770.2449999999999</v>
      </c>
      <c r="E51" s="6">
        <v>23.31</v>
      </c>
      <c r="F51" s="49">
        <v>20000</v>
      </c>
      <c r="G51" s="6">
        <v>0.98599999999999999</v>
      </c>
      <c r="H51" s="6">
        <v>-3.238</v>
      </c>
    </row>
    <row r="52" spans="1:8" x14ac:dyDescent="0.2">
      <c r="A52" s="6" t="s">
        <v>627</v>
      </c>
      <c r="B52" s="6" t="s">
        <v>555</v>
      </c>
      <c r="C52" s="6" t="s">
        <v>554</v>
      </c>
      <c r="D52" s="6">
        <v>1770.2449999999999</v>
      </c>
      <c r="F52" s="49">
        <v>129700000000</v>
      </c>
      <c r="G52" s="6">
        <v>0.98599999999999999</v>
      </c>
      <c r="H52" s="6">
        <v>-3.238</v>
      </c>
    </row>
    <row r="53" spans="1:8" x14ac:dyDescent="0.2">
      <c r="A53" s="6" t="s">
        <v>626</v>
      </c>
      <c r="B53" s="6" t="s">
        <v>555</v>
      </c>
      <c r="C53" s="6" t="s">
        <v>554</v>
      </c>
      <c r="D53" s="6">
        <v>1770.2449999999999</v>
      </c>
      <c r="F53" s="49">
        <v>129700000000</v>
      </c>
      <c r="G53" s="6">
        <v>0.98599999999999999</v>
      </c>
      <c r="H53" s="6">
        <v>-3.238</v>
      </c>
    </row>
    <row r="54" spans="1:8" x14ac:dyDescent="0.2">
      <c r="A54" s="6" t="s">
        <v>625</v>
      </c>
      <c r="B54" s="6" t="s">
        <v>555</v>
      </c>
      <c r="C54" s="6" t="s">
        <v>554</v>
      </c>
      <c r="D54" s="6">
        <v>1770.2449999999999</v>
      </c>
      <c r="F54" s="49">
        <v>129700000000</v>
      </c>
      <c r="G54" s="6">
        <v>0.98599999999999999</v>
      </c>
      <c r="H54" s="6">
        <v>-3.238</v>
      </c>
    </row>
    <row r="55" spans="1:8" x14ac:dyDescent="0.2">
      <c r="A55" s="6" t="s">
        <v>624</v>
      </c>
      <c r="B55" s="6" t="s">
        <v>555</v>
      </c>
      <c r="C55" s="6" t="s">
        <v>554</v>
      </c>
      <c r="D55" s="6">
        <v>1770.2449999999999</v>
      </c>
      <c r="F55" s="49">
        <v>129700000000</v>
      </c>
      <c r="G55" s="6">
        <v>0.98599999999999999</v>
      </c>
      <c r="H55" s="6">
        <v>-3.238</v>
      </c>
    </row>
    <row r="56" spans="1:8" x14ac:dyDescent="0.2">
      <c r="A56" s="6" t="s">
        <v>658</v>
      </c>
      <c r="B56" s="6" t="s">
        <v>33</v>
      </c>
      <c r="C56" s="6" t="s">
        <v>554</v>
      </c>
      <c r="D56" s="6">
        <v>1770.2449999999999</v>
      </c>
      <c r="E56" s="6">
        <v>26.24</v>
      </c>
      <c r="F56" s="49">
        <v>2000</v>
      </c>
      <c r="G56" s="6">
        <v>0.98599999999999999</v>
      </c>
      <c r="H56" s="6">
        <v>-3.238</v>
      </c>
    </row>
    <row r="57" spans="1:8" x14ac:dyDescent="0.2">
      <c r="A57" s="6" t="s">
        <v>656</v>
      </c>
      <c r="B57" s="6" t="s">
        <v>33</v>
      </c>
      <c r="C57" s="6" t="s">
        <v>554</v>
      </c>
      <c r="D57" s="6">
        <v>1770.2449999999999</v>
      </c>
      <c r="E57" s="6">
        <v>25.47</v>
      </c>
      <c r="F57" s="49">
        <v>2000</v>
      </c>
      <c r="G57" s="6">
        <v>0.98599999999999999</v>
      </c>
      <c r="H57" s="6">
        <v>-3.238</v>
      </c>
    </row>
    <row r="58" spans="1:8" x14ac:dyDescent="0.2">
      <c r="A58" s="6" t="s">
        <v>621</v>
      </c>
      <c r="B58" s="6" t="s">
        <v>555</v>
      </c>
      <c r="C58" s="6" t="s">
        <v>554</v>
      </c>
      <c r="D58" s="6">
        <v>1770.2449999999999</v>
      </c>
      <c r="F58" s="49">
        <v>129700000000</v>
      </c>
      <c r="G58" s="6">
        <v>0.98599999999999999</v>
      </c>
      <c r="H58" s="6">
        <v>-3.238</v>
      </c>
    </row>
    <row r="59" spans="1:8" x14ac:dyDescent="0.2">
      <c r="A59" s="6" t="s">
        <v>619</v>
      </c>
      <c r="B59" s="6" t="s">
        <v>555</v>
      </c>
      <c r="C59" s="6" t="s">
        <v>554</v>
      </c>
      <c r="D59" s="6">
        <v>1770.2449999999999</v>
      </c>
      <c r="F59" s="49">
        <v>129700000000</v>
      </c>
      <c r="G59" s="6">
        <v>0.98599999999999999</v>
      </c>
      <c r="H59" s="6">
        <v>-3.238</v>
      </c>
    </row>
    <row r="60" spans="1:8" x14ac:dyDescent="0.2">
      <c r="A60" s="6" t="s">
        <v>618</v>
      </c>
      <c r="B60" s="6" t="s">
        <v>555</v>
      </c>
      <c r="C60" s="6" t="s">
        <v>554</v>
      </c>
      <c r="D60" s="6">
        <v>1770.2449999999999</v>
      </c>
      <c r="F60" s="49">
        <v>129700000000</v>
      </c>
      <c r="G60" s="6">
        <v>0.98599999999999999</v>
      </c>
      <c r="H60" s="6">
        <v>-3.238</v>
      </c>
    </row>
    <row r="61" spans="1:8" x14ac:dyDescent="0.2">
      <c r="A61" s="6" t="s">
        <v>616</v>
      </c>
      <c r="B61" s="6" t="s">
        <v>555</v>
      </c>
      <c r="C61" s="6" t="s">
        <v>554</v>
      </c>
      <c r="D61" s="6">
        <v>1770.2449999999999</v>
      </c>
      <c r="F61" s="49">
        <v>129700000000</v>
      </c>
      <c r="G61" s="6">
        <v>0.98599999999999999</v>
      </c>
      <c r="H61" s="6">
        <v>-3.238</v>
      </c>
    </row>
    <row r="62" spans="1:8" x14ac:dyDescent="0.2">
      <c r="A62" s="6" t="s">
        <v>647</v>
      </c>
      <c r="B62" s="6" t="s">
        <v>33</v>
      </c>
      <c r="C62" s="6" t="s">
        <v>554</v>
      </c>
      <c r="D62" s="6">
        <v>1770.2449999999999</v>
      </c>
      <c r="E62" s="6">
        <v>29.01</v>
      </c>
      <c r="F62" s="49">
        <v>200</v>
      </c>
      <c r="G62" s="6">
        <v>0.98599999999999999</v>
      </c>
      <c r="H62" s="6">
        <v>-3.238</v>
      </c>
    </row>
    <row r="63" spans="1:8" x14ac:dyDescent="0.2">
      <c r="A63" s="6" t="s">
        <v>645</v>
      </c>
      <c r="B63" s="6" t="s">
        <v>33</v>
      </c>
      <c r="C63" s="6" t="s">
        <v>554</v>
      </c>
      <c r="D63" s="6">
        <v>1770.2449999999999</v>
      </c>
      <c r="E63" s="6">
        <v>28.86</v>
      </c>
      <c r="F63" s="49">
        <v>200</v>
      </c>
      <c r="G63" s="6">
        <v>0.98599999999999999</v>
      </c>
      <c r="H63" s="6">
        <v>-3.238</v>
      </c>
    </row>
    <row r="64" spans="1:8" x14ac:dyDescent="0.2">
      <c r="A64" s="6" t="s">
        <v>613</v>
      </c>
      <c r="B64" s="6" t="s">
        <v>555</v>
      </c>
      <c r="C64" s="6" t="s">
        <v>554</v>
      </c>
      <c r="D64" s="6">
        <v>1770.2449999999999</v>
      </c>
      <c r="F64" s="49">
        <v>129700000000</v>
      </c>
      <c r="G64" s="6">
        <v>0.98599999999999999</v>
      </c>
      <c r="H64" s="6">
        <v>-3.238</v>
      </c>
    </row>
    <row r="65" spans="1:8" x14ac:dyDescent="0.2">
      <c r="A65" s="6" t="s">
        <v>612</v>
      </c>
      <c r="B65" s="6" t="s">
        <v>555</v>
      </c>
      <c r="C65" s="6" t="s">
        <v>554</v>
      </c>
      <c r="D65" s="6">
        <v>1770.2449999999999</v>
      </c>
      <c r="F65" s="49">
        <v>129700000000</v>
      </c>
      <c r="G65" s="6">
        <v>0.98599999999999999</v>
      </c>
      <c r="H65" s="6">
        <v>-3.238</v>
      </c>
    </row>
    <row r="66" spans="1:8" x14ac:dyDescent="0.2">
      <c r="A66" s="6" t="s">
        <v>611</v>
      </c>
      <c r="B66" s="6" t="s">
        <v>555</v>
      </c>
      <c r="C66" s="6" t="s">
        <v>554</v>
      </c>
      <c r="D66" s="6">
        <v>1770.2449999999999</v>
      </c>
      <c r="F66" s="49">
        <v>129700000000</v>
      </c>
      <c r="G66" s="6">
        <v>0.98599999999999999</v>
      </c>
      <c r="H66" s="6">
        <v>-3.238</v>
      </c>
    </row>
    <row r="67" spans="1:8" x14ac:dyDescent="0.2">
      <c r="A67" s="6" t="s">
        <v>610</v>
      </c>
      <c r="B67" s="6" t="s">
        <v>555</v>
      </c>
      <c r="C67" s="6" t="s">
        <v>554</v>
      </c>
      <c r="D67" s="6">
        <v>1770.2449999999999</v>
      </c>
      <c r="F67" s="49">
        <v>129700000000</v>
      </c>
      <c r="G67" s="6">
        <v>0.98599999999999999</v>
      </c>
      <c r="H67" s="6">
        <v>-3.238</v>
      </c>
    </row>
    <row r="68" spans="1:8" x14ac:dyDescent="0.2">
      <c r="A68" s="6" t="s">
        <v>646</v>
      </c>
      <c r="B68" s="6" t="s">
        <v>33</v>
      </c>
      <c r="C68" s="6" t="s">
        <v>554</v>
      </c>
      <c r="D68" s="6">
        <v>1770.2449999999999</v>
      </c>
      <c r="E68" s="6">
        <v>32.89</v>
      </c>
      <c r="F68" s="49">
        <v>20</v>
      </c>
      <c r="G68" s="6">
        <v>0.98599999999999999</v>
      </c>
      <c r="H68" s="6">
        <v>-3.238</v>
      </c>
    </row>
    <row r="69" spans="1:8" x14ac:dyDescent="0.2">
      <c r="A69" s="6" t="s">
        <v>644</v>
      </c>
      <c r="B69" s="6" t="s">
        <v>33</v>
      </c>
      <c r="C69" s="6" t="s">
        <v>554</v>
      </c>
      <c r="D69" s="6">
        <v>1770.2449999999999</v>
      </c>
      <c r="E69" s="6">
        <v>32.36</v>
      </c>
      <c r="F69" s="49">
        <v>20</v>
      </c>
      <c r="G69" s="6">
        <v>0.98599999999999999</v>
      </c>
      <c r="H69" s="6">
        <v>-3.238</v>
      </c>
    </row>
    <row r="70" spans="1:8" x14ac:dyDescent="0.2">
      <c r="A70" s="6" t="s">
        <v>607</v>
      </c>
      <c r="B70" s="6" t="s">
        <v>555</v>
      </c>
      <c r="C70" s="6" t="s">
        <v>554</v>
      </c>
      <c r="D70" s="6">
        <v>1770.2449999999999</v>
      </c>
      <c r="F70" s="49">
        <v>129700000000</v>
      </c>
      <c r="G70" s="6">
        <v>0.98599999999999999</v>
      </c>
      <c r="H70" s="6">
        <v>-3.238</v>
      </c>
    </row>
    <row r="71" spans="1:8" x14ac:dyDescent="0.2">
      <c r="A71" s="6" t="s">
        <v>606</v>
      </c>
      <c r="B71" s="6" t="s">
        <v>555</v>
      </c>
      <c r="C71" s="6" t="s">
        <v>554</v>
      </c>
      <c r="D71" s="6">
        <v>1770.2449999999999</v>
      </c>
      <c r="F71" s="49">
        <v>129700000000</v>
      </c>
      <c r="G71" s="6">
        <v>0.98599999999999999</v>
      </c>
      <c r="H71" s="6">
        <v>-3.238</v>
      </c>
    </row>
    <row r="72" spans="1:8" x14ac:dyDescent="0.2">
      <c r="A72" s="6" t="s">
        <v>605</v>
      </c>
      <c r="B72" s="6" t="s">
        <v>555</v>
      </c>
      <c r="C72" s="6" t="s">
        <v>554</v>
      </c>
      <c r="D72" s="6">
        <v>1770.2449999999999</v>
      </c>
      <c r="F72" s="49">
        <v>129700000000</v>
      </c>
      <c r="G72" s="6">
        <v>0.98599999999999999</v>
      </c>
      <c r="H72" s="6">
        <v>-3.238</v>
      </c>
    </row>
    <row r="73" spans="1:8" x14ac:dyDescent="0.2">
      <c r="A73" s="6" t="s">
        <v>604</v>
      </c>
      <c r="B73" s="6" t="s">
        <v>555</v>
      </c>
      <c r="C73" s="6" t="s">
        <v>554</v>
      </c>
      <c r="D73" s="6">
        <v>1770.2449999999999</v>
      </c>
      <c r="F73" s="49">
        <v>129700000000</v>
      </c>
      <c r="G73" s="6">
        <v>0.98599999999999999</v>
      </c>
      <c r="H73" s="6">
        <v>-3.238</v>
      </c>
    </row>
    <row r="74" spans="1:8" x14ac:dyDescent="0.2">
      <c r="A74" s="6" t="s">
        <v>603</v>
      </c>
      <c r="B74" s="6" t="s">
        <v>33</v>
      </c>
      <c r="C74" s="6" t="s">
        <v>554</v>
      </c>
      <c r="D74" s="6">
        <v>1770.2449999999999</v>
      </c>
      <c r="E74" s="6">
        <v>33.85</v>
      </c>
      <c r="F74" s="49">
        <v>10</v>
      </c>
      <c r="G74" s="6">
        <v>0.98599999999999999</v>
      </c>
      <c r="H74" s="6">
        <v>-3.238</v>
      </c>
    </row>
    <row r="75" spans="1:8" x14ac:dyDescent="0.2">
      <c r="A75" s="6" t="s">
        <v>602</v>
      </c>
      <c r="B75" s="6" t="s">
        <v>33</v>
      </c>
      <c r="C75" s="6" t="s">
        <v>554</v>
      </c>
      <c r="D75" s="6">
        <v>1770.2449999999999</v>
      </c>
      <c r="E75" s="6">
        <v>34.549999999999997</v>
      </c>
      <c r="F75" s="49">
        <v>10</v>
      </c>
      <c r="G75" s="6">
        <v>0.98599999999999999</v>
      </c>
      <c r="H75" s="6">
        <v>-3.238</v>
      </c>
    </row>
    <row r="76" spans="1:8" x14ac:dyDescent="0.2">
      <c r="A76" s="6" t="s">
        <v>595</v>
      </c>
      <c r="B76" s="6" t="s">
        <v>555</v>
      </c>
      <c r="C76" s="6" t="s">
        <v>554</v>
      </c>
      <c r="D76" s="6">
        <v>1770.2449999999999</v>
      </c>
      <c r="F76" s="49">
        <v>129700000000</v>
      </c>
      <c r="G76" s="6">
        <v>0.98599999999999999</v>
      </c>
      <c r="H76" s="6">
        <v>-3.238</v>
      </c>
    </row>
    <row r="77" spans="1:8" x14ac:dyDescent="0.2">
      <c r="A77" s="6" t="s">
        <v>594</v>
      </c>
      <c r="B77" s="6" t="s">
        <v>555</v>
      </c>
      <c r="C77" s="6" t="s">
        <v>554</v>
      </c>
      <c r="D77" s="6">
        <v>1770.2449999999999</v>
      </c>
      <c r="F77" s="49">
        <v>129700000000</v>
      </c>
      <c r="G77" s="6">
        <v>0.98599999999999999</v>
      </c>
      <c r="H77" s="6">
        <v>-3.238</v>
      </c>
    </row>
    <row r="78" spans="1:8" x14ac:dyDescent="0.2">
      <c r="A78" s="6" t="s">
        <v>593</v>
      </c>
      <c r="B78" s="6" t="s">
        <v>555</v>
      </c>
      <c r="C78" s="6" t="s">
        <v>554</v>
      </c>
      <c r="D78" s="6">
        <v>1770.2449999999999</v>
      </c>
      <c r="F78" s="49">
        <v>129700000000</v>
      </c>
      <c r="G78" s="6">
        <v>0.98599999999999999</v>
      </c>
      <c r="H78" s="6">
        <v>-3.238</v>
      </c>
    </row>
    <row r="79" spans="1:8" x14ac:dyDescent="0.2">
      <c r="A79" s="6" t="s">
        <v>592</v>
      </c>
      <c r="B79" s="6" t="s">
        <v>555</v>
      </c>
      <c r="C79" s="6" t="s">
        <v>554</v>
      </c>
      <c r="D79" s="6">
        <v>1770.2449999999999</v>
      </c>
      <c r="F79" s="49">
        <v>129700000000</v>
      </c>
      <c r="G79" s="6">
        <v>0.98599999999999999</v>
      </c>
      <c r="H79" s="6">
        <v>-3.238</v>
      </c>
    </row>
    <row r="80" spans="1:8" x14ac:dyDescent="0.2">
      <c r="A80" s="6" t="s">
        <v>591</v>
      </c>
      <c r="B80" s="6" t="s">
        <v>33</v>
      </c>
      <c r="C80" s="6" t="s">
        <v>554</v>
      </c>
      <c r="D80" s="6">
        <v>1770.2449999999999</v>
      </c>
      <c r="E80" s="6">
        <v>36.6</v>
      </c>
      <c r="F80" s="49">
        <v>1</v>
      </c>
      <c r="G80" s="6">
        <v>0.98599999999999999</v>
      </c>
      <c r="H80" s="6">
        <v>-3.238</v>
      </c>
    </row>
    <row r="81" spans="1:8" x14ac:dyDescent="0.2">
      <c r="A81" s="6" t="s">
        <v>590</v>
      </c>
      <c r="B81" s="6" t="s">
        <v>33</v>
      </c>
      <c r="C81" s="6" t="s">
        <v>554</v>
      </c>
      <c r="D81" s="6">
        <v>1770.2449999999999</v>
      </c>
      <c r="E81" s="6">
        <v>37.67</v>
      </c>
      <c r="F81" s="49">
        <v>1</v>
      </c>
      <c r="G81" s="6">
        <v>0.98599999999999999</v>
      </c>
      <c r="H81" s="6">
        <v>-3.238</v>
      </c>
    </row>
    <row r="82" spans="1:8" x14ac:dyDescent="0.2">
      <c r="A82" s="6" t="s">
        <v>583</v>
      </c>
      <c r="B82" s="6" t="s">
        <v>555</v>
      </c>
      <c r="C82" s="6" t="s">
        <v>554</v>
      </c>
      <c r="D82" s="6">
        <v>1770.2449999999999</v>
      </c>
      <c r="F82" s="49">
        <v>129700000000</v>
      </c>
      <c r="G82" s="6">
        <v>0.98599999999999999</v>
      </c>
      <c r="H82" s="6">
        <v>-3.238</v>
      </c>
    </row>
    <row r="83" spans="1:8" x14ac:dyDescent="0.2">
      <c r="A83" s="6" t="s">
        <v>582</v>
      </c>
      <c r="B83" s="6" t="s">
        <v>555</v>
      </c>
      <c r="C83" s="6" t="s">
        <v>554</v>
      </c>
      <c r="D83" s="6">
        <v>1770.2449999999999</v>
      </c>
      <c r="F83" s="49">
        <v>129700000000</v>
      </c>
      <c r="G83" s="6">
        <v>0.98599999999999999</v>
      </c>
      <c r="H83" s="6">
        <v>-3.238</v>
      </c>
    </row>
    <row r="84" spans="1:8" x14ac:dyDescent="0.2">
      <c r="A84" s="6" t="s">
        <v>581</v>
      </c>
      <c r="B84" s="6" t="s">
        <v>555</v>
      </c>
      <c r="C84" s="6" t="s">
        <v>554</v>
      </c>
      <c r="D84" s="6">
        <v>1770.2449999999999</v>
      </c>
      <c r="F84" s="49">
        <v>129700000000</v>
      </c>
      <c r="G84" s="6">
        <v>0.98599999999999999</v>
      </c>
      <c r="H84" s="6">
        <v>-3.238</v>
      </c>
    </row>
    <row r="85" spans="1:8" x14ac:dyDescent="0.2">
      <c r="A85" s="6" t="s">
        <v>580</v>
      </c>
      <c r="B85" s="6" t="s">
        <v>555</v>
      </c>
      <c r="C85" s="6" t="s">
        <v>554</v>
      </c>
      <c r="D85" s="6">
        <v>1770.2449999999999</v>
      </c>
      <c r="F85" s="49">
        <v>129700000000</v>
      </c>
      <c r="G85" s="6">
        <v>0.98599999999999999</v>
      </c>
      <c r="H85" s="6">
        <v>-3.238</v>
      </c>
    </row>
    <row r="86" spans="1:8" x14ac:dyDescent="0.2">
      <c r="A86" s="6" t="s">
        <v>579</v>
      </c>
      <c r="B86" s="6" t="s">
        <v>670</v>
      </c>
      <c r="C86" s="6" t="s">
        <v>554</v>
      </c>
      <c r="D86" s="6">
        <v>1770.2449999999999</v>
      </c>
      <c r="E86" s="6" t="s">
        <v>669</v>
      </c>
      <c r="F86" s="6" t="s">
        <v>669</v>
      </c>
      <c r="G86" s="6">
        <v>0.98599999999999999</v>
      </c>
      <c r="H86" s="6">
        <v>-3.238</v>
      </c>
    </row>
    <row r="87" spans="1:8" x14ac:dyDescent="0.2">
      <c r="A87" s="6" t="s">
        <v>578</v>
      </c>
      <c r="B87" s="6" t="s">
        <v>670</v>
      </c>
      <c r="C87" s="6" t="s">
        <v>554</v>
      </c>
      <c r="D87" s="6">
        <v>1770.2449999999999</v>
      </c>
      <c r="E87" s="6" t="s">
        <v>669</v>
      </c>
      <c r="F87" s="6" t="s">
        <v>669</v>
      </c>
      <c r="G87" s="6">
        <v>0.98599999999999999</v>
      </c>
      <c r="H87" s="6">
        <v>-3.238</v>
      </c>
    </row>
    <row r="88" spans="1:8" x14ac:dyDescent="0.2">
      <c r="A88" s="6" t="s">
        <v>571</v>
      </c>
      <c r="B88" s="6" t="s">
        <v>555</v>
      </c>
      <c r="C88" s="6" t="s">
        <v>554</v>
      </c>
      <c r="D88" s="6">
        <v>1770.2449999999999</v>
      </c>
      <c r="F88" s="49">
        <v>129700000000</v>
      </c>
      <c r="G88" s="6">
        <v>0.98599999999999999</v>
      </c>
      <c r="H88" s="6">
        <v>-3.238</v>
      </c>
    </row>
    <row r="89" spans="1:8" x14ac:dyDescent="0.2">
      <c r="A89" s="6" t="s">
        <v>570</v>
      </c>
      <c r="B89" s="6" t="s">
        <v>555</v>
      </c>
      <c r="C89" s="6" t="s">
        <v>554</v>
      </c>
      <c r="D89" s="6">
        <v>1770.2449999999999</v>
      </c>
      <c r="F89" s="49">
        <v>129700000000</v>
      </c>
      <c r="G89" s="6">
        <v>0.98599999999999999</v>
      </c>
      <c r="H89" s="6">
        <v>-3.238</v>
      </c>
    </row>
    <row r="90" spans="1:8" x14ac:dyDescent="0.2">
      <c r="A90" s="6" t="s">
        <v>569</v>
      </c>
      <c r="B90" s="6" t="s">
        <v>555</v>
      </c>
      <c r="C90" s="6" t="s">
        <v>554</v>
      </c>
      <c r="D90" s="6">
        <v>1770.2449999999999</v>
      </c>
      <c r="F90" s="49">
        <v>129700000000</v>
      </c>
      <c r="G90" s="6">
        <v>0.98599999999999999</v>
      </c>
      <c r="H90" s="6">
        <v>-3.238</v>
      </c>
    </row>
    <row r="91" spans="1:8" x14ac:dyDescent="0.2">
      <c r="A91" s="6" t="s">
        <v>568</v>
      </c>
      <c r="B91" s="6" t="s">
        <v>555</v>
      </c>
      <c r="C91" s="6" t="s">
        <v>554</v>
      </c>
      <c r="D91" s="6">
        <v>1770.2449999999999</v>
      </c>
      <c r="F91" s="49">
        <v>129700000000</v>
      </c>
      <c r="G91" s="6">
        <v>0.98599999999999999</v>
      </c>
      <c r="H91" s="6">
        <v>-3.238</v>
      </c>
    </row>
    <row r="92" spans="1:8" x14ac:dyDescent="0.2">
      <c r="A92" s="6" t="s">
        <v>567</v>
      </c>
      <c r="B92" s="6" t="s">
        <v>555</v>
      </c>
      <c r="C92" s="6" t="s">
        <v>554</v>
      </c>
      <c r="D92" s="6">
        <v>1770.2449999999999</v>
      </c>
      <c r="F92" s="49">
        <v>129700000000</v>
      </c>
      <c r="G92" s="6">
        <v>0.98599999999999999</v>
      </c>
      <c r="H92" s="6">
        <v>-3.238</v>
      </c>
    </row>
    <row r="93" spans="1:8" x14ac:dyDescent="0.2">
      <c r="A93" s="6" t="s">
        <v>566</v>
      </c>
      <c r="B93" s="6" t="s">
        <v>668</v>
      </c>
      <c r="C93" s="6" t="s">
        <v>554</v>
      </c>
      <c r="D93" s="6">
        <v>1770.2449999999999</v>
      </c>
      <c r="E93" s="6">
        <v>39.6</v>
      </c>
      <c r="F93" s="49">
        <v>0.15620000000000001</v>
      </c>
      <c r="G93" s="6">
        <v>0.98599999999999999</v>
      </c>
      <c r="H93" s="6">
        <v>-3.238</v>
      </c>
    </row>
    <row r="94" spans="1:8" x14ac:dyDescent="0.2">
      <c r="A94" s="6" t="s">
        <v>559</v>
      </c>
      <c r="B94" s="6" t="s">
        <v>555</v>
      </c>
      <c r="C94" s="6" t="s">
        <v>554</v>
      </c>
      <c r="D94" s="6">
        <v>1770.2449999999999</v>
      </c>
      <c r="F94" s="49">
        <v>129700000000</v>
      </c>
      <c r="G94" s="6">
        <v>0.98599999999999999</v>
      </c>
      <c r="H94" s="6">
        <v>-3.238</v>
      </c>
    </row>
    <row r="95" spans="1:8" x14ac:dyDescent="0.2">
      <c r="A95" s="6" t="s">
        <v>558</v>
      </c>
      <c r="B95" s="6" t="s">
        <v>555</v>
      </c>
      <c r="C95" s="6" t="s">
        <v>554</v>
      </c>
      <c r="D95" s="6">
        <v>1770.2449999999999</v>
      </c>
      <c r="F95" s="49">
        <v>129700000000</v>
      </c>
      <c r="G95" s="6">
        <v>0.98599999999999999</v>
      </c>
      <c r="H95" s="6">
        <v>-3.238</v>
      </c>
    </row>
    <row r="96" spans="1:8" x14ac:dyDescent="0.2">
      <c r="A96" s="6" t="s">
        <v>557</v>
      </c>
      <c r="B96" s="6" t="s">
        <v>555</v>
      </c>
      <c r="C96" s="6" t="s">
        <v>554</v>
      </c>
      <c r="D96" s="6">
        <v>1770.2449999999999</v>
      </c>
      <c r="F96" s="49">
        <v>129700000000</v>
      </c>
      <c r="G96" s="6">
        <v>0.98599999999999999</v>
      </c>
      <c r="H96" s="6">
        <v>-3.238</v>
      </c>
    </row>
    <row r="97" spans="1:8" x14ac:dyDescent="0.2">
      <c r="A97" s="6" t="s">
        <v>556</v>
      </c>
      <c r="B97" s="6" t="s">
        <v>555</v>
      </c>
      <c r="C97" s="6" t="s">
        <v>554</v>
      </c>
      <c r="D97" s="6">
        <v>1770.2449999999999</v>
      </c>
      <c r="F97" s="49">
        <v>129700000000</v>
      </c>
      <c r="G97" s="6">
        <v>0.98599999999999999</v>
      </c>
      <c r="H97" s="6">
        <v>-3.238</v>
      </c>
    </row>
  </sheetData>
  <mergeCells count="3">
    <mergeCell ref="M12:U12"/>
    <mergeCell ref="V12:AD12"/>
    <mergeCell ref="K33:Q33"/>
  </mergeCells>
  <pageMargins left="0.75" right="0.75" top="1" bottom="1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89A7-8487-3B4C-A03D-5E435F700241}">
  <dimension ref="A1:AM97"/>
  <sheetViews>
    <sheetView topLeftCell="B1" workbookViewId="0">
      <selection activeCell="L2" sqref="L2"/>
    </sheetView>
  </sheetViews>
  <sheetFormatPr baseColWidth="10" defaultColWidth="8.83203125" defaultRowHeight="15" x14ac:dyDescent="0.2"/>
  <cols>
    <col min="1" max="1" width="5.1640625" style="6" bestFit="1" customWidth="1"/>
    <col min="2" max="2" width="9.83203125" style="6" bestFit="1" customWidth="1"/>
    <col min="3" max="3" width="9.33203125" style="6" bestFit="1" customWidth="1"/>
    <col min="4" max="4" width="14.1640625" style="6" bestFit="1" customWidth="1"/>
    <col min="5" max="5" width="7" style="6" bestFit="1" customWidth="1"/>
    <col min="6" max="6" width="16.5" style="6" bestFit="1" customWidth="1"/>
    <col min="7" max="7" width="8.5" style="6" bestFit="1" customWidth="1"/>
    <col min="8" max="8" width="10.1640625" style="6" bestFit="1" customWidth="1"/>
    <col min="9" max="16384" width="8.83203125" style="6"/>
  </cols>
  <sheetData>
    <row r="1" spans="1:39" x14ac:dyDescent="0.2">
      <c r="A1" s="6" t="s">
        <v>667</v>
      </c>
      <c r="B1" s="6" t="s">
        <v>666</v>
      </c>
      <c r="C1" s="6" t="s">
        <v>665</v>
      </c>
      <c r="D1" s="6" t="s">
        <v>664</v>
      </c>
      <c r="E1" s="6" t="s">
        <v>663</v>
      </c>
      <c r="F1" s="6" t="s">
        <v>662</v>
      </c>
      <c r="G1" s="6" t="s">
        <v>661</v>
      </c>
      <c r="H1" s="6" t="s">
        <v>660</v>
      </c>
      <c r="K1" s="192" t="s">
        <v>683</v>
      </c>
      <c r="L1" s="192"/>
      <c r="M1" s="192"/>
    </row>
    <row r="2" spans="1:39" x14ac:dyDescent="0.2">
      <c r="A2" s="6" t="s">
        <v>647</v>
      </c>
      <c r="B2" s="6" t="s">
        <v>630</v>
      </c>
      <c r="C2" s="6">
        <v>1</v>
      </c>
      <c r="D2" s="6">
        <v>731.68799999999999</v>
      </c>
      <c r="E2" s="6" t="s">
        <v>669</v>
      </c>
      <c r="F2" s="6" t="s">
        <v>669</v>
      </c>
      <c r="G2" s="6">
        <v>0.98299999999999998</v>
      </c>
      <c r="H2" s="6">
        <v>-3.121</v>
      </c>
      <c r="K2" s="192" t="s">
        <v>684</v>
      </c>
      <c r="L2" s="192"/>
      <c r="M2" s="192"/>
      <c r="V2" s="117" t="s">
        <v>465</v>
      </c>
      <c r="W2" s="117"/>
      <c r="X2" s="117"/>
      <c r="Y2" s="117"/>
      <c r="Z2" s="117"/>
      <c r="AA2" s="117"/>
      <c r="AB2" s="117"/>
      <c r="AC2" s="117"/>
      <c r="AD2" s="117"/>
      <c r="AE2" s="117" t="s">
        <v>464</v>
      </c>
      <c r="AF2" s="117"/>
      <c r="AG2" s="117"/>
      <c r="AH2" s="117"/>
      <c r="AI2" s="117"/>
      <c r="AJ2" s="117"/>
      <c r="AK2" s="117"/>
      <c r="AL2" s="117"/>
      <c r="AM2" s="117"/>
    </row>
    <row r="3" spans="1:39" x14ac:dyDescent="0.2">
      <c r="A3" s="6" t="s">
        <v>646</v>
      </c>
      <c r="B3" s="6" t="s">
        <v>630</v>
      </c>
      <c r="C3" s="6">
        <v>1</v>
      </c>
      <c r="D3" s="6">
        <v>731.68799999999999</v>
      </c>
      <c r="E3" s="6" t="s">
        <v>669</v>
      </c>
      <c r="F3" s="6" t="s">
        <v>669</v>
      </c>
      <c r="G3" s="6">
        <v>0.98299999999999998</v>
      </c>
      <c r="H3" s="6">
        <v>-3.121</v>
      </c>
      <c r="V3" s="3" t="s">
        <v>181</v>
      </c>
      <c r="W3" s="3" t="s">
        <v>639</v>
      </c>
      <c r="X3" s="3" t="s">
        <v>638</v>
      </c>
      <c r="Y3" s="3" t="s">
        <v>637</v>
      </c>
      <c r="Z3" s="3" t="s">
        <v>636</v>
      </c>
      <c r="AA3" s="3" t="s">
        <v>635</v>
      </c>
      <c r="AB3" s="3"/>
      <c r="AC3" s="3"/>
      <c r="AD3" s="3"/>
      <c r="AE3" s="3" t="s">
        <v>181</v>
      </c>
      <c r="AF3" s="3" t="s">
        <v>639</v>
      </c>
      <c r="AG3" s="3" t="s">
        <v>638</v>
      </c>
      <c r="AH3" s="3" t="s">
        <v>637</v>
      </c>
      <c r="AI3" s="3" t="s">
        <v>636</v>
      </c>
      <c r="AJ3" s="3" t="s">
        <v>635</v>
      </c>
      <c r="AK3" s="3"/>
      <c r="AL3" s="3"/>
      <c r="AM3" s="3"/>
    </row>
    <row r="4" spans="1:39" x14ac:dyDescent="0.2">
      <c r="A4" s="6" t="s">
        <v>657</v>
      </c>
      <c r="B4" s="6" t="s">
        <v>668</v>
      </c>
      <c r="C4" s="6">
        <v>2</v>
      </c>
      <c r="D4" s="6">
        <v>731.68799999999999</v>
      </c>
      <c r="E4" s="6">
        <v>34.39</v>
      </c>
      <c r="F4" s="49">
        <v>0.63880000000000003</v>
      </c>
      <c r="G4" s="6">
        <v>0.98299999999999998</v>
      </c>
      <c r="H4" s="6">
        <v>-3.121</v>
      </c>
      <c r="U4" s="28" t="s">
        <v>620</v>
      </c>
      <c r="W4" s="6">
        <v>28.91</v>
      </c>
      <c r="X4" s="6">
        <v>28.78</v>
      </c>
      <c r="Y4" s="6">
        <v>26.79</v>
      </c>
      <c r="Z4" s="6">
        <v>26.72</v>
      </c>
      <c r="AA4" s="6">
        <v>34.369999999999997</v>
      </c>
      <c r="AF4" s="6">
        <v>28.62</v>
      </c>
      <c r="AG4" s="6">
        <v>26.17</v>
      </c>
      <c r="AH4" s="6">
        <v>28.28</v>
      </c>
      <c r="AI4" s="6">
        <v>25.62</v>
      </c>
      <c r="AJ4" s="6">
        <v>35.22</v>
      </c>
    </row>
    <row r="5" spans="1:39" x14ac:dyDescent="0.2">
      <c r="A5" s="6" t="s">
        <v>656</v>
      </c>
      <c r="B5" s="6" t="s">
        <v>630</v>
      </c>
      <c r="C5" s="6">
        <v>3</v>
      </c>
      <c r="D5" s="6">
        <v>731.68799999999999</v>
      </c>
      <c r="E5" s="6">
        <v>28.91</v>
      </c>
      <c r="F5" s="49">
        <v>36.49</v>
      </c>
      <c r="G5" s="6">
        <v>0.98299999999999998</v>
      </c>
      <c r="H5" s="6">
        <v>-3.121</v>
      </c>
      <c r="U5" s="28" t="s">
        <v>620</v>
      </c>
      <c r="V5" s="6" t="s">
        <v>669</v>
      </c>
      <c r="W5" s="6">
        <v>28.9</v>
      </c>
      <c r="X5" s="6">
        <v>28.54</v>
      </c>
      <c r="Y5" s="6">
        <v>27</v>
      </c>
      <c r="Z5" s="6">
        <v>26.42</v>
      </c>
      <c r="AA5" s="6">
        <v>33.75</v>
      </c>
      <c r="AE5" s="6" t="s">
        <v>669</v>
      </c>
      <c r="AF5" s="6">
        <v>28.4</v>
      </c>
      <c r="AG5" s="6">
        <v>26.45</v>
      </c>
      <c r="AH5" s="6">
        <v>28.21</v>
      </c>
      <c r="AI5" s="6">
        <v>25.29</v>
      </c>
      <c r="AJ5" s="6">
        <v>35.700000000000003</v>
      </c>
    </row>
    <row r="6" spans="1:39" x14ac:dyDescent="0.2">
      <c r="A6" s="6" t="s">
        <v>645</v>
      </c>
      <c r="B6" s="6" t="s">
        <v>630</v>
      </c>
      <c r="C6" s="6">
        <v>3</v>
      </c>
      <c r="D6" s="6">
        <v>731.68799999999999</v>
      </c>
      <c r="E6" s="6">
        <v>28.9</v>
      </c>
      <c r="F6" s="49">
        <v>36.71</v>
      </c>
      <c r="G6" s="6">
        <v>0.98299999999999998</v>
      </c>
      <c r="H6" s="6">
        <v>-3.121</v>
      </c>
      <c r="M6" s="6">
        <v>28.91</v>
      </c>
      <c r="N6" s="6">
        <v>28.78</v>
      </c>
      <c r="O6" s="6">
        <v>26.79</v>
      </c>
      <c r="P6" s="6">
        <v>26.72</v>
      </c>
      <c r="Q6" s="6">
        <v>34.369999999999997</v>
      </c>
      <c r="U6" s="28" t="s">
        <v>620</v>
      </c>
      <c r="V6" s="6" t="s">
        <v>669</v>
      </c>
      <c r="W6" s="6">
        <v>28.68</v>
      </c>
      <c r="X6" s="6">
        <v>28.46</v>
      </c>
      <c r="Y6" s="6">
        <v>26.57</v>
      </c>
      <c r="Z6" s="6">
        <v>26.52</v>
      </c>
      <c r="AA6" s="6">
        <v>34.85</v>
      </c>
      <c r="AE6" s="6" t="s">
        <v>669</v>
      </c>
      <c r="AF6" s="6">
        <v>28.47</v>
      </c>
      <c r="AG6" s="6">
        <v>26.5</v>
      </c>
      <c r="AH6" s="6">
        <v>28.5</v>
      </c>
      <c r="AI6" s="6">
        <v>25.74</v>
      </c>
      <c r="AJ6" s="6">
        <v>35.06</v>
      </c>
    </row>
    <row r="7" spans="1:39" x14ac:dyDescent="0.2">
      <c r="A7" s="6" t="s">
        <v>644</v>
      </c>
      <c r="B7" s="6" t="s">
        <v>630</v>
      </c>
      <c r="C7" s="6">
        <v>3</v>
      </c>
      <c r="D7" s="6">
        <v>731.68799999999999</v>
      </c>
      <c r="E7" s="6">
        <v>28.68</v>
      </c>
      <c r="F7" s="49">
        <v>43.23</v>
      </c>
      <c r="G7" s="6">
        <v>0.98299999999999998</v>
      </c>
      <c r="H7" s="6">
        <v>-3.121</v>
      </c>
      <c r="L7" s="6" t="s">
        <v>669</v>
      </c>
      <c r="M7" s="6">
        <v>28.9</v>
      </c>
      <c r="N7" s="6">
        <v>28.54</v>
      </c>
      <c r="O7" s="6">
        <v>27</v>
      </c>
      <c r="P7" s="6">
        <v>26.42</v>
      </c>
      <c r="Q7" s="6">
        <v>33.75</v>
      </c>
      <c r="U7" s="28" t="s">
        <v>12</v>
      </c>
      <c r="W7" s="6">
        <f>AVERAGE(W4:W6)</f>
        <v>28.830000000000002</v>
      </c>
      <c r="X7" s="6">
        <f>AVERAGE(X4:X6)</f>
        <v>28.593333333333334</v>
      </c>
      <c r="Y7" s="6">
        <f>AVERAGE(Y4:Y6)</f>
        <v>26.786666666666665</v>
      </c>
      <c r="Z7" s="6">
        <f>AVERAGE(Z4:Z6)</f>
        <v>26.553333333333331</v>
      </c>
      <c r="AA7" s="6">
        <f>AVERAGE(AA4:AA6)</f>
        <v>34.323333333333331</v>
      </c>
      <c r="AF7" s="6">
        <f>AVERAGE(AF4:AF6)</f>
        <v>28.496666666666666</v>
      </c>
      <c r="AG7" s="6">
        <f>AVERAGE(AG4:AG6)</f>
        <v>26.373333333333335</v>
      </c>
      <c r="AH7" s="6">
        <f>AVERAGE(AH4:AH6)</f>
        <v>28.330000000000002</v>
      </c>
      <c r="AI7" s="6">
        <f>AVERAGE(AI4:AI6)</f>
        <v>25.549999999999997</v>
      </c>
      <c r="AJ7" s="6">
        <f>AVERAGE(AJ4:AJ6)</f>
        <v>35.326666666666668</v>
      </c>
    </row>
    <row r="8" spans="1:39" x14ac:dyDescent="0.2">
      <c r="A8" s="6" t="s">
        <v>655</v>
      </c>
      <c r="B8" s="6" t="s">
        <v>668</v>
      </c>
      <c r="C8" s="6">
        <v>4</v>
      </c>
      <c r="D8" s="6">
        <v>731.68799999999999</v>
      </c>
      <c r="E8" s="6">
        <v>33.630000000000003</v>
      </c>
      <c r="F8" s="6">
        <v>1.1200000000000001</v>
      </c>
      <c r="G8" s="6">
        <v>0.98299999999999998</v>
      </c>
      <c r="H8" s="6">
        <v>-3.121</v>
      </c>
      <c r="L8" s="6" t="s">
        <v>669</v>
      </c>
      <c r="M8" s="6">
        <v>28.68</v>
      </c>
      <c r="N8" s="6">
        <v>28.46</v>
      </c>
      <c r="O8" s="6">
        <v>26.57</v>
      </c>
      <c r="P8" s="6">
        <v>26.52</v>
      </c>
      <c r="Q8" s="6">
        <v>34.85</v>
      </c>
      <c r="U8" s="28" t="s">
        <v>679</v>
      </c>
      <c r="V8" s="3"/>
      <c r="W8" s="3">
        <f>-1.0456*W7+35.468</f>
        <v>5.3233519999999999</v>
      </c>
      <c r="X8" s="3">
        <f>-1.0456*X7+35.468</f>
        <v>5.5708106666666666</v>
      </c>
      <c r="Y8" s="3">
        <f>-1.0456*Y7+35.468</f>
        <v>7.4598613333333361</v>
      </c>
      <c r="Z8" s="3">
        <f>-1.0456*Z7+35.468</f>
        <v>7.7038346666666691</v>
      </c>
      <c r="AA8" s="3" t="s">
        <v>678</v>
      </c>
      <c r="AB8" s="3"/>
      <c r="AC8" s="3"/>
      <c r="AD8" s="3"/>
      <c r="AE8" s="3"/>
      <c r="AF8" s="3">
        <f>-1.0456*AF7+35.468</f>
        <v>5.6718853333333357</v>
      </c>
      <c r="AG8" s="3">
        <f>-1.0456*AG7+35.468</f>
        <v>7.892042666666665</v>
      </c>
      <c r="AH8" s="3">
        <f>-1.0456*AH7+35.468</f>
        <v>5.846152</v>
      </c>
      <c r="AI8" s="3">
        <f>-1.0456*AI7+35.468</f>
        <v>8.7529200000000031</v>
      </c>
      <c r="AJ8" s="3" t="s">
        <v>678</v>
      </c>
      <c r="AK8" s="3"/>
      <c r="AL8" s="3"/>
      <c r="AM8" s="3"/>
    </row>
    <row r="9" spans="1:39" x14ac:dyDescent="0.2">
      <c r="A9" s="6" t="s">
        <v>654</v>
      </c>
      <c r="B9" s="6" t="s">
        <v>630</v>
      </c>
      <c r="C9" s="6">
        <v>5</v>
      </c>
      <c r="D9" s="6">
        <v>731.68799999999999</v>
      </c>
      <c r="E9" s="6">
        <v>28.78</v>
      </c>
      <c r="F9" s="49">
        <v>40.24</v>
      </c>
      <c r="G9" s="6">
        <v>0.98299999999999998</v>
      </c>
      <c r="H9" s="6">
        <v>-3.121</v>
      </c>
      <c r="M9" s="6">
        <v>34.39</v>
      </c>
      <c r="N9" s="6">
        <v>33.630000000000003</v>
      </c>
      <c r="O9" s="6">
        <v>32.75</v>
      </c>
      <c r="P9" s="6">
        <v>31.57</v>
      </c>
      <c r="Q9" s="6">
        <v>34.729999999999997</v>
      </c>
      <c r="U9" s="28" t="s">
        <v>677</v>
      </c>
      <c r="W9" s="6">
        <f>2^W8*10</f>
        <v>400.39498521404681</v>
      </c>
      <c r="X9" s="6">
        <f>2^X8*10</f>
        <v>475.31455220118085</v>
      </c>
      <c r="Y9" s="6">
        <f>2^Y8*10</f>
        <v>1760.5243038123265</v>
      </c>
      <c r="Z9" s="6">
        <f>2^Z8*10</f>
        <v>2084.9004174845932</v>
      </c>
      <c r="AF9" s="6">
        <f>2^AF8*10</f>
        <v>509.80913993505163</v>
      </c>
      <c r="AG9" s="6">
        <f>2^AG8*10</f>
        <v>2375.4263502509702</v>
      </c>
      <c r="AH9" s="6">
        <f>2^AH8*10</f>
        <v>575.2638867045996</v>
      </c>
      <c r="AI9" s="6">
        <f>2^AI8*10</f>
        <v>4314.1125352280578</v>
      </c>
    </row>
    <row r="10" spans="1:39" x14ac:dyDescent="0.2">
      <c r="A10" s="6" t="s">
        <v>643</v>
      </c>
      <c r="B10" s="6" t="s">
        <v>630</v>
      </c>
      <c r="C10" s="6">
        <v>5</v>
      </c>
      <c r="D10" s="6">
        <v>731.68799999999999</v>
      </c>
      <c r="E10" s="6">
        <v>28.54</v>
      </c>
      <c r="F10" s="49">
        <v>48.05</v>
      </c>
      <c r="G10" s="6">
        <v>0.98299999999999998</v>
      </c>
      <c r="H10" s="6">
        <v>-3.121</v>
      </c>
      <c r="U10" s="28" t="s">
        <v>676</v>
      </c>
      <c r="V10" s="191">
        <v>5382.2294844854114</v>
      </c>
      <c r="W10" s="191">
        <v>6953.9365577614135</v>
      </c>
      <c r="X10" s="191">
        <v>5796.575774682311</v>
      </c>
      <c r="Y10" s="191">
        <v>2563.7114708836698</v>
      </c>
      <c r="Z10" s="191">
        <v>4947.2143363445875</v>
      </c>
      <c r="AA10" s="191">
        <v>7438.95466284754</v>
      </c>
      <c r="AB10" s="190"/>
      <c r="AC10" s="190"/>
      <c r="AD10" s="190"/>
      <c r="AE10" s="191">
        <v>3689.6702969349085</v>
      </c>
      <c r="AF10" s="191">
        <v>7590.95240085569</v>
      </c>
      <c r="AG10" s="191">
        <v>16819.546535304638</v>
      </c>
      <c r="AH10" s="191">
        <v>1515.2206578414789</v>
      </c>
      <c r="AI10" s="191">
        <v>8175.3353179019341</v>
      </c>
      <c r="AJ10" s="191">
        <v>8599.3666320583561</v>
      </c>
      <c r="AL10" s="190"/>
      <c r="AM10" s="190"/>
    </row>
    <row r="11" spans="1:39" x14ac:dyDescent="0.2">
      <c r="A11" s="6" t="s">
        <v>642</v>
      </c>
      <c r="B11" s="6" t="s">
        <v>630</v>
      </c>
      <c r="C11" s="6">
        <v>5</v>
      </c>
      <c r="D11" s="6">
        <v>731.68799999999999</v>
      </c>
      <c r="E11" s="6">
        <v>28.46</v>
      </c>
      <c r="F11" s="49">
        <v>50.89</v>
      </c>
      <c r="G11" s="6">
        <v>0.98299999999999998</v>
      </c>
      <c r="H11" s="6">
        <v>-3.121</v>
      </c>
      <c r="U11" s="44" t="s">
        <v>675</v>
      </c>
      <c r="V11" s="45"/>
      <c r="W11" s="45">
        <f>W9/W10*1000000</f>
        <v>57578.176316141216</v>
      </c>
      <c r="X11" s="45">
        <f>X9/X10*1000000</f>
        <v>81999.195848902891</v>
      </c>
      <c r="Y11" s="45">
        <f>Y9/Y10*1000000</f>
        <v>686709.21974129265</v>
      </c>
      <c r="Z11" s="45">
        <f>Z9/Z10*1000000</f>
        <v>421429.16715128429</v>
      </c>
      <c r="AA11" s="45"/>
      <c r="AB11" s="45"/>
      <c r="AC11" s="45"/>
      <c r="AD11" s="45"/>
      <c r="AE11" s="45"/>
      <c r="AF11" s="45">
        <f>AF9/AF10*1000000</f>
        <v>67160.10231833141</v>
      </c>
      <c r="AG11" s="45">
        <f>AG9/AG10*1000000</f>
        <v>141230.1066063162</v>
      </c>
      <c r="AH11" s="45">
        <f>AH9/AH10*1000000</f>
        <v>379656.83989822108</v>
      </c>
      <c r="AI11" s="45">
        <f>AI9/AI10*1000000</f>
        <v>527698.54293086089</v>
      </c>
      <c r="AJ11" s="45">
        <f>AJ9/AJ10*1000000</f>
        <v>0</v>
      </c>
      <c r="AK11" s="45"/>
      <c r="AL11" s="45"/>
      <c r="AM11" s="45"/>
    </row>
    <row r="12" spans="1:39" x14ac:dyDescent="0.2">
      <c r="A12" s="6" t="s">
        <v>653</v>
      </c>
      <c r="B12" s="6" t="s">
        <v>668</v>
      </c>
      <c r="C12" s="6">
        <v>6</v>
      </c>
      <c r="D12" s="6">
        <v>731.68799999999999</v>
      </c>
      <c r="E12" s="6">
        <v>32.75</v>
      </c>
      <c r="F12" s="6">
        <v>2.14</v>
      </c>
      <c r="G12" s="6">
        <v>0.98299999999999998</v>
      </c>
      <c r="H12" s="6">
        <v>-3.121</v>
      </c>
    </row>
    <row r="13" spans="1:39" x14ac:dyDescent="0.2">
      <c r="A13" s="6" t="s">
        <v>652</v>
      </c>
      <c r="B13" s="6" t="s">
        <v>630</v>
      </c>
      <c r="C13" s="6">
        <v>7</v>
      </c>
      <c r="D13" s="6">
        <v>731.68799999999999</v>
      </c>
      <c r="E13" s="6">
        <v>26.79</v>
      </c>
      <c r="F13" s="49">
        <v>174.1</v>
      </c>
      <c r="G13" s="6">
        <v>0.98299999999999998</v>
      </c>
      <c r="H13" s="6">
        <v>-3.121</v>
      </c>
      <c r="U13" s="28" t="s">
        <v>674</v>
      </c>
      <c r="W13" s="6">
        <v>34.39</v>
      </c>
      <c r="X13" s="6">
        <v>33.630000000000003</v>
      </c>
      <c r="Y13" s="6">
        <v>32.75</v>
      </c>
      <c r="Z13" s="6">
        <v>31.57</v>
      </c>
      <c r="AA13" s="6">
        <v>34.729999999999997</v>
      </c>
    </row>
    <row r="14" spans="1:39" x14ac:dyDescent="0.2">
      <c r="A14" s="6" t="s">
        <v>641</v>
      </c>
      <c r="B14" s="6" t="s">
        <v>630</v>
      </c>
      <c r="C14" s="6">
        <v>7</v>
      </c>
      <c r="D14" s="6">
        <v>731.68799999999999</v>
      </c>
      <c r="E14" s="6">
        <v>27</v>
      </c>
      <c r="F14" s="49">
        <v>149.6</v>
      </c>
      <c r="G14" s="6">
        <v>0.98299999999999998</v>
      </c>
      <c r="H14" s="6">
        <v>-3.121</v>
      </c>
      <c r="U14" s="189" t="s">
        <v>673</v>
      </c>
      <c r="V14" s="27"/>
      <c r="W14" s="27" t="s">
        <v>672</v>
      </c>
      <c r="X14" s="27" t="s">
        <v>672</v>
      </c>
      <c r="Y14" s="27" t="s">
        <v>672</v>
      </c>
      <c r="Z14" s="27" t="s">
        <v>672</v>
      </c>
      <c r="AA14" s="27" t="s">
        <v>671</v>
      </c>
      <c r="AB14" s="27"/>
      <c r="AC14" s="27"/>
      <c r="AD14" s="27"/>
      <c r="AE14" s="27"/>
      <c r="AF14" s="27" t="s">
        <v>672</v>
      </c>
      <c r="AG14" s="27" t="s">
        <v>672</v>
      </c>
      <c r="AH14" s="27" t="s">
        <v>672</v>
      </c>
      <c r="AI14" s="27" t="s">
        <v>672</v>
      </c>
      <c r="AJ14" s="27" t="s">
        <v>671</v>
      </c>
      <c r="AK14" s="27"/>
      <c r="AL14" s="27"/>
      <c r="AM14" s="27"/>
    </row>
    <row r="15" spans="1:39" x14ac:dyDescent="0.2">
      <c r="A15" s="6" t="s">
        <v>640</v>
      </c>
      <c r="B15" s="6" t="s">
        <v>630</v>
      </c>
      <c r="C15" s="6">
        <v>7</v>
      </c>
      <c r="D15" s="6">
        <v>731.68799999999999</v>
      </c>
      <c r="E15" s="6">
        <v>26.57</v>
      </c>
      <c r="F15" s="49">
        <v>205.6</v>
      </c>
      <c r="G15" s="6">
        <v>0.98299999999999998</v>
      </c>
      <c r="H15" s="6">
        <v>-3.121</v>
      </c>
    </row>
    <row r="16" spans="1:39" x14ac:dyDescent="0.2">
      <c r="A16" s="6" t="s">
        <v>651</v>
      </c>
      <c r="B16" s="6" t="s">
        <v>668</v>
      </c>
      <c r="C16" s="6">
        <v>8</v>
      </c>
      <c r="D16" s="6">
        <v>731.68799999999999</v>
      </c>
      <c r="E16" s="6">
        <v>31.57</v>
      </c>
      <c r="F16" s="6">
        <v>5.13</v>
      </c>
      <c r="G16" s="6">
        <v>0.98299999999999998</v>
      </c>
      <c r="H16" s="6">
        <v>-3.121</v>
      </c>
    </row>
    <row r="17" spans="1:39" x14ac:dyDescent="0.2">
      <c r="A17" s="6" t="s">
        <v>650</v>
      </c>
      <c r="B17" s="6" t="s">
        <v>630</v>
      </c>
      <c r="C17" s="6">
        <v>9</v>
      </c>
      <c r="D17" s="6">
        <v>731.68799999999999</v>
      </c>
      <c r="E17" s="6">
        <v>26.72</v>
      </c>
      <c r="F17" s="49">
        <v>183.7</v>
      </c>
      <c r="G17" s="6">
        <v>0.98299999999999998</v>
      </c>
      <c r="H17" s="6">
        <v>-3.121</v>
      </c>
    </row>
    <row r="18" spans="1:39" x14ac:dyDescent="0.2">
      <c r="A18" s="6" t="s">
        <v>634</v>
      </c>
      <c r="B18" s="6" t="s">
        <v>630</v>
      </c>
      <c r="C18" s="6">
        <v>9</v>
      </c>
      <c r="D18" s="6">
        <v>731.68799999999999</v>
      </c>
      <c r="E18" s="6">
        <v>26.42</v>
      </c>
      <c r="F18" s="49">
        <v>228.9</v>
      </c>
      <c r="G18" s="6">
        <v>0.98299999999999998</v>
      </c>
      <c r="H18" s="6">
        <v>-3.121</v>
      </c>
    </row>
    <row r="19" spans="1:39" x14ac:dyDescent="0.2">
      <c r="A19" s="6" t="s">
        <v>633</v>
      </c>
      <c r="B19" s="6" t="s">
        <v>630</v>
      </c>
      <c r="C19" s="6">
        <v>9</v>
      </c>
      <c r="D19" s="6">
        <v>731.68799999999999</v>
      </c>
      <c r="E19" s="6">
        <v>26.52</v>
      </c>
      <c r="F19" s="49">
        <v>212.2</v>
      </c>
      <c r="G19" s="6">
        <v>0.98299999999999998</v>
      </c>
      <c r="H19" s="6">
        <v>-3.121</v>
      </c>
      <c r="V19" s="117" t="s">
        <v>462</v>
      </c>
      <c r="W19" s="117"/>
      <c r="X19" s="117"/>
      <c r="Y19" s="117"/>
      <c r="Z19" s="117"/>
      <c r="AA19" s="117"/>
      <c r="AB19" s="117"/>
      <c r="AC19" s="117"/>
      <c r="AD19" s="117"/>
      <c r="AE19" s="117" t="s">
        <v>463</v>
      </c>
      <c r="AF19" s="117"/>
      <c r="AG19" s="117"/>
      <c r="AH19" s="117"/>
      <c r="AI19" s="117"/>
      <c r="AJ19" s="117"/>
      <c r="AK19" s="117"/>
      <c r="AL19" s="117"/>
      <c r="AM19" s="117"/>
    </row>
    <row r="20" spans="1:39" x14ac:dyDescent="0.2">
      <c r="A20" s="6" t="s">
        <v>649</v>
      </c>
      <c r="B20" s="6" t="s">
        <v>668</v>
      </c>
      <c r="C20" s="6">
        <v>10</v>
      </c>
      <c r="D20" s="6">
        <v>731.68799999999999</v>
      </c>
      <c r="E20" s="6">
        <v>34.729999999999997</v>
      </c>
      <c r="F20" s="49">
        <v>0.4965</v>
      </c>
      <c r="G20" s="6">
        <v>0.98299999999999998</v>
      </c>
      <c r="H20" s="6">
        <v>-3.121</v>
      </c>
      <c r="V20" s="3" t="s">
        <v>181</v>
      </c>
      <c r="W20" s="3" t="s">
        <v>639</v>
      </c>
      <c r="X20" s="3" t="s">
        <v>638</v>
      </c>
      <c r="Y20" s="3" t="s">
        <v>637</v>
      </c>
      <c r="Z20" s="3" t="s">
        <v>636</v>
      </c>
      <c r="AA20" s="3" t="s">
        <v>635</v>
      </c>
      <c r="AB20" s="3"/>
      <c r="AC20" s="3"/>
      <c r="AD20" s="3"/>
      <c r="AE20" s="3" t="s">
        <v>181</v>
      </c>
      <c r="AF20" s="3" t="s">
        <v>639</v>
      </c>
      <c r="AG20" s="3" t="s">
        <v>638</v>
      </c>
      <c r="AH20" s="3" t="s">
        <v>637</v>
      </c>
      <c r="AI20" s="3" t="s">
        <v>636</v>
      </c>
      <c r="AJ20" s="3" t="s">
        <v>635</v>
      </c>
      <c r="AK20" s="3"/>
      <c r="AL20" s="3"/>
      <c r="AM20" s="3"/>
    </row>
    <row r="21" spans="1:39" x14ac:dyDescent="0.2">
      <c r="A21" s="6" t="s">
        <v>648</v>
      </c>
      <c r="B21" s="6" t="s">
        <v>630</v>
      </c>
      <c r="C21" s="6">
        <v>11</v>
      </c>
      <c r="D21" s="6">
        <v>731.68799999999999</v>
      </c>
      <c r="E21" s="6">
        <v>34.369999999999997</v>
      </c>
      <c r="F21" s="49">
        <v>0.64959999999999996</v>
      </c>
      <c r="G21" s="6">
        <v>0.98299999999999998</v>
      </c>
      <c r="H21" s="6">
        <v>-3.121</v>
      </c>
      <c r="U21" s="28" t="s">
        <v>620</v>
      </c>
      <c r="W21" s="6">
        <v>28.59</v>
      </c>
      <c r="X21" s="6">
        <v>28.02</v>
      </c>
      <c r="Y21" s="6">
        <v>26.66</v>
      </c>
      <c r="Z21" s="6">
        <v>26.34</v>
      </c>
      <c r="AA21" s="6">
        <v>34.56</v>
      </c>
      <c r="AF21" s="6">
        <v>29.21</v>
      </c>
      <c r="AG21" s="6">
        <v>27.75</v>
      </c>
      <c r="AH21" s="6">
        <v>26.78</v>
      </c>
      <c r="AI21" s="6">
        <v>24</v>
      </c>
      <c r="AJ21" s="6">
        <v>35.43</v>
      </c>
    </row>
    <row r="22" spans="1:39" x14ac:dyDescent="0.2">
      <c r="A22" s="6" t="s">
        <v>632</v>
      </c>
      <c r="B22" s="6" t="s">
        <v>630</v>
      </c>
      <c r="C22" s="6">
        <v>11</v>
      </c>
      <c r="D22" s="6">
        <v>731.68799999999999</v>
      </c>
      <c r="E22" s="6">
        <v>33.75</v>
      </c>
      <c r="F22" s="6">
        <v>1.03</v>
      </c>
      <c r="G22" s="6">
        <v>0.98299999999999998</v>
      </c>
      <c r="H22" s="6">
        <v>-3.121</v>
      </c>
      <c r="M22" s="6">
        <v>28.59</v>
      </c>
      <c r="N22" s="6">
        <v>28.02</v>
      </c>
      <c r="O22" s="6">
        <v>26.66</v>
      </c>
      <c r="P22" s="6">
        <v>26.34</v>
      </c>
      <c r="Q22" s="6">
        <v>34.56</v>
      </c>
      <c r="U22" s="28" t="s">
        <v>620</v>
      </c>
      <c r="V22" s="6" t="s">
        <v>669</v>
      </c>
      <c r="W22" s="6">
        <v>28.8</v>
      </c>
      <c r="X22" s="6">
        <v>27.95</v>
      </c>
      <c r="Y22" s="6">
        <v>26.93</v>
      </c>
      <c r="Z22" s="6">
        <v>26.22</v>
      </c>
      <c r="AA22" s="6">
        <v>34.54</v>
      </c>
      <c r="AE22" s="6" t="s">
        <v>669</v>
      </c>
      <c r="AF22" s="6">
        <v>29.03</v>
      </c>
      <c r="AG22" s="6">
        <v>27.24</v>
      </c>
      <c r="AH22" s="6">
        <v>26.79</v>
      </c>
      <c r="AI22" s="6">
        <v>23.85</v>
      </c>
      <c r="AJ22" s="6">
        <v>36.270000000000003</v>
      </c>
    </row>
    <row r="23" spans="1:39" x14ac:dyDescent="0.2">
      <c r="A23" s="6" t="s">
        <v>631</v>
      </c>
      <c r="B23" s="6" t="s">
        <v>630</v>
      </c>
      <c r="C23" s="6">
        <v>11</v>
      </c>
      <c r="D23" s="6">
        <v>731.68799999999999</v>
      </c>
      <c r="E23" s="6">
        <v>34.85</v>
      </c>
      <c r="F23" s="49">
        <v>0.4541</v>
      </c>
      <c r="G23" s="6">
        <v>0.98299999999999998</v>
      </c>
      <c r="H23" s="6">
        <v>-3.121</v>
      </c>
      <c r="L23" s="6" t="s">
        <v>669</v>
      </c>
      <c r="M23" s="6">
        <v>28.8</v>
      </c>
      <c r="N23" s="6">
        <v>27.95</v>
      </c>
      <c r="O23" s="6">
        <v>26.93</v>
      </c>
      <c r="P23" s="6">
        <v>26.22</v>
      </c>
      <c r="Q23" s="6">
        <v>34.54</v>
      </c>
      <c r="U23" s="28" t="s">
        <v>620</v>
      </c>
      <c r="V23" s="6" t="s">
        <v>669</v>
      </c>
      <c r="W23" s="6">
        <v>29.01</v>
      </c>
      <c r="X23" s="6">
        <v>28.28</v>
      </c>
      <c r="Y23" s="6">
        <v>26.95</v>
      </c>
      <c r="Z23" s="6">
        <v>26.55</v>
      </c>
      <c r="AA23" s="6">
        <v>34.229999999999997</v>
      </c>
      <c r="AE23" s="6" t="s">
        <v>669</v>
      </c>
      <c r="AF23" s="6">
        <v>28.71</v>
      </c>
      <c r="AG23" s="6">
        <v>27.27</v>
      </c>
      <c r="AH23" s="6">
        <v>26.67</v>
      </c>
      <c r="AI23" s="6">
        <v>24.04</v>
      </c>
      <c r="AJ23" s="6" t="s">
        <v>669</v>
      </c>
    </row>
    <row r="24" spans="1:39" x14ac:dyDescent="0.2">
      <c r="A24" s="6" t="s">
        <v>615</v>
      </c>
      <c r="B24" s="6" t="s">
        <v>630</v>
      </c>
      <c r="C24" s="6">
        <v>12</v>
      </c>
      <c r="D24" s="6">
        <v>731.68799999999999</v>
      </c>
      <c r="E24" s="6" t="s">
        <v>669</v>
      </c>
      <c r="F24" s="6" t="s">
        <v>669</v>
      </c>
      <c r="G24" s="6">
        <v>0.98299999999999998</v>
      </c>
      <c r="H24" s="6">
        <v>-3.121</v>
      </c>
      <c r="L24" s="6" t="s">
        <v>669</v>
      </c>
      <c r="M24" s="6">
        <v>29.01</v>
      </c>
      <c r="N24" s="6">
        <v>28.28</v>
      </c>
      <c r="O24" s="6">
        <v>26.95</v>
      </c>
      <c r="P24" s="6">
        <v>26.55</v>
      </c>
      <c r="Q24" s="6">
        <v>34.229999999999997</v>
      </c>
      <c r="U24" s="28" t="s">
        <v>12</v>
      </c>
      <c r="W24" s="6">
        <f>AVERAGE(W21:W23)</f>
        <v>28.8</v>
      </c>
      <c r="X24" s="6">
        <f>AVERAGE(X21:X23)</f>
        <v>28.083333333333332</v>
      </c>
      <c r="Y24" s="6">
        <f>AVERAGE(Y21:Y23)</f>
        <v>26.846666666666668</v>
      </c>
      <c r="Z24" s="6">
        <f>AVERAGE(Z21:Z23)</f>
        <v>26.37</v>
      </c>
      <c r="AA24" s="6">
        <f>AVERAGE(AA21:AA23)</f>
        <v>34.443333333333328</v>
      </c>
      <c r="AF24" s="6">
        <f>AVERAGE(AF21:AF23)</f>
        <v>28.983333333333334</v>
      </c>
      <c r="AG24" s="6">
        <f>AVERAGE(AG21:AG23)</f>
        <v>27.419999999999998</v>
      </c>
      <c r="AH24" s="6">
        <f>AVERAGE(AH21:AH23)</f>
        <v>26.74666666666667</v>
      </c>
      <c r="AI24" s="6">
        <f>AVERAGE(AI21:AI23)</f>
        <v>23.963333333333335</v>
      </c>
      <c r="AJ24" s="6">
        <f>AVERAGE(AJ21:AJ23)</f>
        <v>35.85</v>
      </c>
    </row>
    <row r="25" spans="1:39" x14ac:dyDescent="0.2">
      <c r="A25" s="6" t="s">
        <v>609</v>
      </c>
      <c r="B25" s="6" t="s">
        <v>630</v>
      </c>
      <c r="C25" s="6">
        <v>12</v>
      </c>
      <c r="D25" s="6">
        <v>731.68799999999999</v>
      </c>
      <c r="E25" s="6" t="s">
        <v>669</v>
      </c>
      <c r="F25" s="6" t="s">
        <v>669</v>
      </c>
      <c r="G25" s="6">
        <v>0.98299999999999998</v>
      </c>
      <c r="H25" s="6">
        <v>-3.121</v>
      </c>
      <c r="M25" s="6">
        <v>34.21</v>
      </c>
      <c r="N25" s="6">
        <v>34.049999999999997</v>
      </c>
      <c r="O25" s="6">
        <v>32.33</v>
      </c>
      <c r="P25" s="6">
        <v>31.78</v>
      </c>
      <c r="Q25" s="6">
        <v>35.880000000000003</v>
      </c>
      <c r="U25" s="28" t="s">
        <v>679</v>
      </c>
      <c r="V25" s="3"/>
      <c r="W25" s="3">
        <f>-1.0456*W24+35.468</f>
        <v>5.3547200000000004</v>
      </c>
      <c r="X25" s="3">
        <f>-1.0456*X24+35.468</f>
        <v>6.1040666666666681</v>
      </c>
      <c r="Y25" s="3">
        <f>-1.0456*Y24+35.468</f>
        <v>7.3971253333333351</v>
      </c>
      <c r="Z25" s="3">
        <f>-1.0456*Z24+35.468</f>
        <v>7.8955279999999988</v>
      </c>
      <c r="AA25" s="3" t="s">
        <v>678</v>
      </c>
      <c r="AB25" s="3"/>
      <c r="AC25" s="3"/>
      <c r="AD25" s="3"/>
      <c r="AE25" s="3"/>
      <c r="AF25" s="3">
        <f>-1.0456*AF24+35.468</f>
        <v>5.1630266666666671</v>
      </c>
      <c r="AG25" s="3">
        <f>-1.0456*AG24+35.468</f>
        <v>6.7976480000000024</v>
      </c>
      <c r="AH25" s="3">
        <f>-1.0456*AH24+35.468</f>
        <v>7.5016853333333309</v>
      </c>
      <c r="AI25" s="3">
        <f>-1.0456*AI24+35.468</f>
        <v>10.411938666666668</v>
      </c>
      <c r="AJ25" s="3" t="s">
        <v>678</v>
      </c>
      <c r="AK25" s="3"/>
      <c r="AL25" s="3"/>
      <c r="AM25" s="3"/>
    </row>
    <row r="26" spans="1:39" x14ac:dyDescent="0.2">
      <c r="A26" s="6" t="s">
        <v>628</v>
      </c>
      <c r="B26" s="6" t="s">
        <v>668</v>
      </c>
      <c r="C26" s="6">
        <v>13</v>
      </c>
      <c r="D26" s="6">
        <v>731.68799999999999</v>
      </c>
      <c r="E26" s="6">
        <v>34.21</v>
      </c>
      <c r="F26" s="49">
        <v>0.72889999999999999</v>
      </c>
      <c r="G26" s="6">
        <v>0.98299999999999998</v>
      </c>
      <c r="H26" s="6">
        <v>-3.121</v>
      </c>
      <c r="U26" s="28" t="s">
        <v>677</v>
      </c>
      <c r="W26" s="6">
        <f>2^W25*10</f>
        <v>409.19596105410449</v>
      </c>
      <c r="X26" s="6">
        <f>2^X25*10</f>
        <v>687.87125629457012</v>
      </c>
      <c r="Y26" s="6">
        <f>2^Y25*10</f>
        <v>1685.6080901452988</v>
      </c>
      <c r="Z26" s="6">
        <f>2^Z25*10</f>
        <v>2381.1719590274975</v>
      </c>
      <c r="AF26" s="6">
        <f>2^AF25*10</f>
        <v>358.2827467795064</v>
      </c>
      <c r="AG26" s="6">
        <f>2^AG25*10</f>
        <v>1112.4895699081637</v>
      </c>
      <c r="AH26" s="6">
        <f>2^AH25*10</f>
        <v>1812.3092344697423</v>
      </c>
      <c r="AI26" s="6">
        <f>2^AI25*10</f>
        <v>13624.038169250754</v>
      </c>
    </row>
    <row r="27" spans="1:39" x14ac:dyDescent="0.2">
      <c r="A27" s="6" t="s">
        <v>622</v>
      </c>
      <c r="B27" s="6" t="s">
        <v>630</v>
      </c>
      <c r="C27" s="6">
        <v>14</v>
      </c>
      <c r="D27" s="6">
        <v>731.68799999999999</v>
      </c>
      <c r="E27" s="6">
        <v>28.59</v>
      </c>
      <c r="F27" s="49">
        <v>46.15</v>
      </c>
      <c r="G27" s="6">
        <v>0.98299999999999998</v>
      </c>
      <c r="H27" s="6">
        <v>-3.121</v>
      </c>
      <c r="U27" s="28" t="s">
        <v>676</v>
      </c>
      <c r="V27" s="191">
        <v>17454.963138787654</v>
      </c>
      <c r="W27" s="191">
        <v>7364.1009564146234</v>
      </c>
      <c r="X27" s="191">
        <v>5099.6134852429504</v>
      </c>
      <c r="Y27" s="191">
        <v>6791.7596504340236</v>
      </c>
      <c r="Z27" s="191">
        <v>4997.501171327599</v>
      </c>
      <c r="AA27" s="191">
        <v>7514.5692330165684</v>
      </c>
      <c r="AB27" s="190"/>
      <c r="AC27" s="190"/>
      <c r="AD27" s="190"/>
      <c r="AE27" s="191">
        <v>3191.7804222267632</v>
      </c>
      <c r="AF27" s="191">
        <v>6478.6643017844017</v>
      </c>
      <c r="AG27" s="191">
        <v>7931.0199108593306</v>
      </c>
      <c r="AH27" s="191">
        <v>6907.2091311223357</v>
      </c>
      <c r="AI27" s="191">
        <v>20659.599834357425</v>
      </c>
      <c r="AJ27" s="191">
        <v>4471.3528706349771</v>
      </c>
      <c r="AL27" s="190"/>
      <c r="AM27" s="190"/>
    </row>
    <row r="28" spans="1:39" x14ac:dyDescent="0.2">
      <c r="A28" s="6" t="s">
        <v>614</v>
      </c>
      <c r="B28" s="6" t="s">
        <v>630</v>
      </c>
      <c r="C28" s="6">
        <v>14</v>
      </c>
      <c r="D28" s="6">
        <v>731.68799999999999</v>
      </c>
      <c r="E28" s="6">
        <v>28.8</v>
      </c>
      <c r="F28" s="49">
        <v>39.43</v>
      </c>
      <c r="G28" s="6">
        <v>0.98299999999999998</v>
      </c>
      <c r="H28" s="6">
        <v>-3.121</v>
      </c>
      <c r="U28" s="44" t="s">
        <v>675</v>
      </c>
      <c r="V28" s="45"/>
      <c r="W28" s="45">
        <f>W26/W27*1000000</f>
        <v>55566.316034500785</v>
      </c>
      <c r="X28" s="45">
        <f>X26/X27*1000000</f>
        <v>134886.9396249546</v>
      </c>
      <c r="Y28" s="45">
        <f>Y26/Y27*1000000</f>
        <v>248184.29639770614</v>
      </c>
      <c r="Z28" s="45">
        <f>Z26/Z27*1000000</f>
        <v>476472.51644263911</v>
      </c>
      <c r="AA28" s="45"/>
      <c r="AB28" s="45"/>
      <c r="AC28" s="45"/>
      <c r="AD28" s="45"/>
      <c r="AE28" s="45"/>
      <c r="AF28" s="45">
        <f>AF26/AF27*1000000</f>
        <v>55301.946526358144</v>
      </c>
      <c r="AG28" s="45">
        <f>AG26/AG27*1000000</f>
        <v>140270.68175493015</v>
      </c>
      <c r="AH28" s="45">
        <f>AH26/AH27*1000000</f>
        <v>262379.37784508121</v>
      </c>
      <c r="AI28" s="45">
        <f>AI26/AI27*1000000</f>
        <v>659453.14906795253</v>
      </c>
      <c r="AJ28" s="45">
        <f>AJ26/AJ27*1000000</f>
        <v>0</v>
      </c>
      <c r="AK28" s="45"/>
      <c r="AL28" s="45"/>
      <c r="AM28" s="45"/>
    </row>
    <row r="29" spans="1:39" x14ac:dyDescent="0.2">
      <c r="A29" s="6" t="s">
        <v>608</v>
      </c>
      <c r="B29" s="6" t="s">
        <v>630</v>
      </c>
      <c r="C29" s="6">
        <v>14</v>
      </c>
      <c r="D29" s="6">
        <v>731.68799999999999</v>
      </c>
      <c r="E29" s="6">
        <v>29.01</v>
      </c>
      <c r="F29" s="49">
        <v>33.97</v>
      </c>
      <c r="G29" s="6">
        <v>0.98299999999999998</v>
      </c>
      <c r="H29" s="6">
        <v>-3.121</v>
      </c>
    </row>
    <row r="30" spans="1:39" x14ac:dyDescent="0.2">
      <c r="A30" s="6" t="s">
        <v>627</v>
      </c>
      <c r="B30" s="6" t="s">
        <v>668</v>
      </c>
      <c r="C30" s="6">
        <v>15</v>
      </c>
      <c r="D30" s="6">
        <v>731.68799999999999</v>
      </c>
      <c r="E30" s="6">
        <v>34.049999999999997</v>
      </c>
      <c r="F30" s="49">
        <v>0.81940000000000002</v>
      </c>
      <c r="G30" s="6">
        <v>0.98299999999999998</v>
      </c>
      <c r="H30" s="6">
        <v>-3.121</v>
      </c>
      <c r="U30" s="28" t="s">
        <v>674</v>
      </c>
      <c r="W30" s="6">
        <v>34.21</v>
      </c>
      <c r="X30" s="6">
        <v>34.049999999999997</v>
      </c>
      <c r="Y30" s="6">
        <v>32.33</v>
      </c>
      <c r="Z30" s="6">
        <v>31.78</v>
      </c>
      <c r="AA30" s="6">
        <v>35.880000000000003</v>
      </c>
    </row>
    <row r="31" spans="1:39" x14ac:dyDescent="0.2">
      <c r="A31" s="6" t="s">
        <v>621</v>
      </c>
      <c r="B31" s="6" t="s">
        <v>630</v>
      </c>
      <c r="C31" s="6">
        <v>16</v>
      </c>
      <c r="D31" s="6">
        <v>731.68799999999999</v>
      </c>
      <c r="E31" s="6">
        <v>28.02</v>
      </c>
      <c r="F31" s="49">
        <v>70.28</v>
      </c>
      <c r="G31" s="6">
        <v>0.98299999999999998</v>
      </c>
      <c r="H31" s="6">
        <v>-3.121</v>
      </c>
      <c r="U31" s="189" t="s">
        <v>673</v>
      </c>
      <c r="V31" s="27"/>
      <c r="W31" s="27" t="s">
        <v>672</v>
      </c>
      <c r="X31" s="27" t="s">
        <v>672</v>
      </c>
      <c r="Y31" s="27" t="s">
        <v>672</v>
      </c>
      <c r="Z31" s="27" t="s">
        <v>672</v>
      </c>
      <c r="AA31" s="27" t="s">
        <v>671</v>
      </c>
      <c r="AB31" s="27"/>
      <c r="AC31" s="27"/>
      <c r="AD31" s="27"/>
      <c r="AE31" s="27"/>
      <c r="AF31" s="27" t="s">
        <v>672</v>
      </c>
      <c r="AG31" s="27" t="s">
        <v>672</v>
      </c>
      <c r="AH31" s="27" t="s">
        <v>672</v>
      </c>
      <c r="AI31" s="27" t="s">
        <v>672</v>
      </c>
      <c r="AJ31" s="27" t="s">
        <v>671</v>
      </c>
      <c r="AK31" s="27"/>
      <c r="AL31" s="27"/>
      <c r="AM31" s="27"/>
    </row>
    <row r="32" spans="1:39" x14ac:dyDescent="0.2">
      <c r="A32" s="6" t="s">
        <v>613</v>
      </c>
      <c r="B32" s="6" t="s">
        <v>630</v>
      </c>
      <c r="C32" s="6">
        <v>16</v>
      </c>
      <c r="D32" s="6">
        <v>731.68799999999999</v>
      </c>
      <c r="E32" s="6">
        <v>27.95</v>
      </c>
      <c r="F32" s="49">
        <v>73.900000000000006</v>
      </c>
      <c r="G32" s="6">
        <v>0.98299999999999998</v>
      </c>
      <c r="H32" s="6">
        <v>-3.121</v>
      </c>
    </row>
    <row r="33" spans="1:17" x14ac:dyDescent="0.2">
      <c r="A33" s="6" t="s">
        <v>607</v>
      </c>
      <c r="B33" s="6" t="s">
        <v>630</v>
      </c>
      <c r="C33" s="6">
        <v>16</v>
      </c>
      <c r="D33" s="6">
        <v>731.68799999999999</v>
      </c>
      <c r="E33" s="6">
        <v>28.28</v>
      </c>
      <c r="F33" s="49">
        <v>58.08</v>
      </c>
      <c r="G33" s="6">
        <v>0.98299999999999998</v>
      </c>
      <c r="H33" s="6">
        <v>-3.121</v>
      </c>
    </row>
    <row r="34" spans="1:17" x14ac:dyDescent="0.2">
      <c r="A34" s="6" t="s">
        <v>626</v>
      </c>
      <c r="B34" s="6" t="s">
        <v>668</v>
      </c>
      <c r="C34" s="6">
        <v>17</v>
      </c>
      <c r="D34" s="6">
        <v>731.68799999999999</v>
      </c>
      <c r="E34" s="6">
        <v>32.33</v>
      </c>
      <c r="F34" s="6">
        <v>2.92</v>
      </c>
      <c r="G34" s="6">
        <v>0.98299999999999998</v>
      </c>
      <c r="H34" s="6">
        <v>-3.121</v>
      </c>
    </row>
    <row r="35" spans="1:17" x14ac:dyDescent="0.2">
      <c r="A35" s="6" t="s">
        <v>619</v>
      </c>
      <c r="B35" s="6" t="s">
        <v>630</v>
      </c>
      <c r="C35" s="6">
        <v>18</v>
      </c>
      <c r="D35" s="6">
        <v>731.68799999999999</v>
      </c>
      <c r="E35" s="6">
        <v>26.66</v>
      </c>
      <c r="F35" s="49">
        <v>191.3</v>
      </c>
      <c r="G35" s="6">
        <v>0.98299999999999998</v>
      </c>
      <c r="H35" s="6">
        <v>-3.121</v>
      </c>
    </row>
    <row r="36" spans="1:17" x14ac:dyDescent="0.2">
      <c r="A36" s="6" t="s">
        <v>612</v>
      </c>
      <c r="B36" s="6" t="s">
        <v>630</v>
      </c>
      <c r="C36" s="6">
        <v>18</v>
      </c>
      <c r="D36" s="6">
        <v>731.68799999999999</v>
      </c>
      <c r="E36" s="6">
        <v>26.93</v>
      </c>
      <c r="F36" s="49">
        <v>157.6</v>
      </c>
      <c r="G36" s="6">
        <v>0.98299999999999998</v>
      </c>
      <c r="H36" s="6">
        <v>-3.121</v>
      </c>
    </row>
    <row r="37" spans="1:17" x14ac:dyDescent="0.2">
      <c r="A37" s="6" t="s">
        <v>606</v>
      </c>
      <c r="B37" s="6" t="s">
        <v>630</v>
      </c>
      <c r="C37" s="6">
        <v>18</v>
      </c>
      <c r="D37" s="6">
        <v>731.68799999999999</v>
      </c>
      <c r="E37" s="6">
        <v>26.95</v>
      </c>
      <c r="F37" s="49">
        <v>154.69999999999999</v>
      </c>
      <c r="G37" s="6">
        <v>0.98299999999999998</v>
      </c>
      <c r="H37" s="6">
        <v>-3.121</v>
      </c>
    </row>
    <row r="38" spans="1:17" x14ac:dyDescent="0.2">
      <c r="A38" s="6" t="s">
        <v>625</v>
      </c>
      <c r="B38" s="6" t="s">
        <v>668</v>
      </c>
      <c r="C38" s="6">
        <v>19</v>
      </c>
      <c r="D38" s="6">
        <v>731.68799999999999</v>
      </c>
      <c r="E38" s="6">
        <v>31.78</v>
      </c>
      <c r="F38" s="6">
        <v>4.37</v>
      </c>
      <c r="G38" s="6">
        <v>0.98299999999999998</v>
      </c>
      <c r="H38" s="6">
        <v>-3.121</v>
      </c>
    </row>
    <row r="39" spans="1:17" x14ac:dyDescent="0.2">
      <c r="A39" s="6" t="s">
        <v>618</v>
      </c>
      <c r="B39" s="6" t="s">
        <v>630</v>
      </c>
      <c r="C39" s="6">
        <v>20</v>
      </c>
      <c r="D39" s="6">
        <v>731.68799999999999</v>
      </c>
      <c r="E39" s="6">
        <v>26.34</v>
      </c>
      <c r="F39" s="49">
        <v>242.8</v>
      </c>
      <c r="G39" s="6">
        <v>0.98299999999999998</v>
      </c>
      <c r="H39" s="6">
        <v>-3.121</v>
      </c>
    </row>
    <row r="40" spans="1:17" x14ac:dyDescent="0.2">
      <c r="A40" s="6" t="s">
        <v>611</v>
      </c>
      <c r="B40" s="6" t="s">
        <v>630</v>
      </c>
      <c r="C40" s="6">
        <v>20</v>
      </c>
      <c r="D40" s="6">
        <v>731.68799999999999</v>
      </c>
      <c r="E40" s="6">
        <v>26.22</v>
      </c>
      <c r="F40" s="49">
        <v>264.8</v>
      </c>
      <c r="G40" s="6">
        <v>0.98299999999999998</v>
      </c>
      <c r="H40" s="6">
        <v>-3.121</v>
      </c>
    </row>
    <row r="41" spans="1:17" x14ac:dyDescent="0.2">
      <c r="A41" s="6" t="s">
        <v>605</v>
      </c>
      <c r="B41" s="6" t="s">
        <v>630</v>
      </c>
      <c r="C41" s="6">
        <v>20</v>
      </c>
      <c r="D41" s="6">
        <v>731.68799999999999</v>
      </c>
      <c r="E41" s="6">
        <v>26.55</v>
      </c>
      <c r="F41" s="49">
        <v>207.7</v>
      </c>
      <c r="G41" s="6">
        <v>0.98299999999999998</v>
      </c>
      <c r="H41" s="6">
        <v>-3.121</v>
      </c>
    </row>
    <row r="42" spans="1:17" x14ac:dyDescent="0.2">
      <c r="A42" s="6" t="s">
        <v>624</v>
      </c>
      <c r="B42" s="6" t="s">
        <v>668</v>
      </c>
      <c r="C42" s="6">
        <v>21</v>
      </c>
      <c r="D42" s="6">
        <v>731.68799999999999</v>
      </c>
      <c r="E42" s="6">
        <v>35.880000000000003</v>
      </c>
      <c r="F42" s="49">
        <v>0.21279999999999999</v>
      </c>
      <c r="G42" s="6">
        <v>0.98299999999999998</v>
      </c>
      <c r="H42" s="6">
        <v>-3.121</v>
      </c>
    </row>
    <row r="43" spans="1:17" x14ac:dyDescent="0.2">
      <c r="A43" s="6" t="s">
        <v>616</v>
      </c>
      <c r="B43" s="6" t="s">
        <v>630</v>
      </c>
      <c r="C43" s="6">
        <v>22</v>
      </c>
      <c r="D43" s="6">
        <v>731.68799999999999</v>
      </c>
      <c r="E43" s="6">
        <v>34.56</v>
      </c>
      <c r="F43" s="49">
        <v>0.56530000000000002</v>
      </c>
      <c r="G43" s="6">
        <v>0.98299999999999998</v>
      </c>
      <c r="H43" s="6">
        <v>-3.121</v>
      </c>
    </row>
    <row r="44" spans="1:17" x14ac:dyDescent="0.2">
      <c r="A44" s="6" t="s">
        <v>610</v>
      </c>
      <c r="B44" s="6" t="s">
        <v>630</v>
      </c>
      <c r="C44" s="6">
        <v>22</v>
      </c>
      <c r="D44" s="6">
        <v>731.68799999999999</v>
      </c>
      <c r="E44" s="6">
        <v>34.54</v>
      </c>
      <c r="F44" s="49">
        <v>0.57230000000000003</v>
      </c>
      <c r="G44" s="6">
        <v>0.98299999999999998</v>
      </c>
      <c r="H44" s="6">
        <v>-3.121</v>
      </c>
    </row>
    <row r="45" spans="1:17" x14ac:dyDescent="0.2">
      <c r="A45" s="6" t="s">
        <v>604</v>
      </c>
      <c r="B45" s="6" t="s">
        <v>630</v>
      </c>
      <c r="C45" s="6">
        <v>22</v>
      </c>
      <c r="D45" s="6">
        <v>731.68799999999999</v>
      </c>
      <c r="E45" s="6">
        <v>34.229999999999997</v>
      </c>
      <c r="F45" s="49">
        <v>0.71860000000000002</v>
      </c>
      <c r="G45" s="6">
        <v>0.98299999999999998</v>
      </c>
      <c r="H45" s="6">
        <v>-3.121</v>
      </c>
      <c r="M45" s="6">
        <v>28.62</v>
      </c>
      <c r="N45" s="6">
        <v>26.17</v>
      </c>
      <c r="O45" s="6">
        <v>28.28</v>
      </c>
      <c r="P45" s="6">
        <v>25.62</v>
      </c>
      <c r="Q45" s="6">
        <v>35.22</v>
      </c>
    </row>
    <row r="46" spans="1:17" x14ac:dyDescent="0.2">
      <c r="A46" s="6" t="s">
        <v>579</v>
      </c>
      <c r="B46" s="6" t="s">
        <v>630</v>
      </c>
      <c r="C46" s="6">
        <v>23</v>
      </c>
      <c r="D46" s="6">
        <v>731.68799999999999</v>
      </c>
      <c r="E46" s="6" t="s">
        <v>669</v>
      </c>
      <c r="F46" s="6" t="s">
        <v>669</v>
      </c>
      <c r="G46" s="6">
        <v>0.98299999999999998</v>
      </c>
      <c r="H46" s="6">
        <v>-3.121</v>
      </c>
      <c r="L46" s="6" t="s">
        <v>669</v>
      </c>
      <c r="M46" s="6">
        <v>28.4</v>
      </c>
      <c r="N46" s="6">
        <v>26.45</v>
      </c>
      <c r="O46" s="6">
        <v>28.21</v>
      </c>
      <c r="P46" s="6">
        <v>25.29</v>
      </c>
      <c r="Q46" s="6">
        <v>35.700000000000003</v>
      </c>
    </row>
    <row r="47" spans="1:17" x14ac:dyDescent="0.2">
      <c r="A47" s="6" t="s">
        <v>567</v>
      </c>
      <c r="B47" s="6" t="s">
        <v>630</v>
      </c>
      <c r="C47" s="6">
        <v>23</v>
      </c>
      <c r="D47" s="6">
        <v>731.68799999999999</v>
      </c>
      <c r="E47" s="6" t="s">
        <v>669</v>
      </c>
      <c r="F47" s="6" t="s">
        <v>669</v>
      </c>
      <c r="G47" s="6">
        <v>0.98299999999999998</v>
      </c>
      <c r="H47" s="6">
        <v>-3.121</v>
      </c>
      <c r="L47" s="6" t="s">
        <v>669</v>
      </c>
      <c r="M47" s="6">
        <v>28.47</v>
      </c>
      <c r="N47" s="6">
        <v>26.5</v>
      </c>
      <c r="O47" s="6">
        <v>28.5</v>
      </c>
      <c r="P47" s="6">
        <v>25.74</v>
      </c>
      <c r="Q47" s="6">
        <v>35.06</v>
      </c>
    </row>
    <row r="48" spans="1:17" x14ac:dyDescent="0.2">
      <c r="A48" s="6" t="s">
        <v>602</v>
      </c>
      <c r="B48" s="6" t="s">
        <v>668</v>
      </c>
      <c r="C48" s="6">
        <v>24</v>
      </c>
      <c r="D48" s="6">
        <v>731.68799999999999</v>
      </c>
      <c r="E48" s="6">
        <v>33.880000000000003</v>
      </c>
      <c r="F48" s="49">
        <v>0.92810000000000004</v>
      </c>
      <c r="G48" s="6">
        <v>0.98299999999999998</v>
      </c>
      <c r="H48" s="6">
        <v>-3.121</v>
      </c>
      <c r="M48" s="6">
        <v>33.880000000000003</v>
      </c>
      <c r="N48" s="6">
        <v>32.549999999999997</v>
      </c>
      <c r="O48" s="6">
        <v>33.67</v>
      </c>
      <c r="P48" s="6">
        <v>31.16</v>
      </c>
      <c r="Q48" s="6">
        <v>35.39</v>
      </c>
    </row>
    <row r="49" spans="1:28" x14ac:dyDescent="0.2">
      <c r="A49" s="6" t="s">
        <v>590</v>
      </c>
      <c r="B49" s="6" t="s">
        <v>630</v>
      </c>
      <c r="C49" s="6">
        <v>25</v>
      </c>
      <c r="D49" s="6">
        <v>731.68799999999999</v>
      </c>
      <c r="E49" s="6">
        <v>28.62</v>
      </c>
      <c r="F49" s="49">
        <v>45.01</v>
      </c>
      <c r="G49" s="6">
        <v>0.98299999999999998</v>
      </c>
      <c r="H49" s="6">
        <v>-3.121</v>
      </c>
    </row>
    <row r="50" spans="1:28" x14ac:dyDescent="0.2">
      <c r="A50" s="6" t="s">
        <v>578</v>
      </c>
      <c r="B50" s="6" t="s">
        <v>630</v>
      </c>
      <c r="C50" s="6">
        <v>25</v>
      </c>
      <c r="D50" s="6">
        <v>731.68799999999999</v>
      </c>
      <c r="E50" s="6">
        <v>28.4</v>
      </c>
      <c r="F50" s="49">
        <v>53.29</v>
      </c>
      <c r="G50" s="6">
        <v>0.98299999999999998</v>
      </c>
      <c r="H50" s="6">
        <v>-3.121</v>
      </c>
    </row>
    <row r="51" spans="1:28" x14ac:dyDescent="0.2">
      <c r="A51" s="6" t="s">
        <v>566</v>
      </c>
      <c r="B51" s="6" t="s">
        <v>630</v>
      </c>
      <c r="C51" s="6">
        <v>25</v>
      </c>
      <c r="D51" s="6">
        <v>731.68799999999999</v>
      </c>
      <c r="E51" s="6">
        <v>28.47</v>
      </c>
      <c r="F51" s="49">
        <v>50.38</v>
      </c>
      <c r="G51" s="6">
        <v>0.98299999999999998</v>
      </c>
      <c r="H51" s="6">
        <v>-3.121</v>
      </c>
    </row>
    <row r="52" spans="1:28" x14ac:dyDescent="0.2">
      <c r="A52" s="6" t="s">
        <v>601</v>
      </c>
      <c r="B52" s="6" t="s">
        <v>668</v>
      </c>
      <c r="C52" s="6">
        <v>26</v>
      </c>
      <c r="D52" s="6">
        <v>731.68799999999999</v>
      </c>
      <c r="E52" s="6">
        <v>32.549999999999997</v>
      </c>
      <c r="F52" s="6">
        <v>2.48</v>
      </c>
      <c r="G52" s="6">
        <v>0.98299999999999998</v>
      </c>
      <c r="H52" s="6">
        <v>-3.121</v>
      </c>
    </row>
    <row r="53" spans="1:28" x14ac:dyDescent="0.2">
      <c r="A53" s="6" t="s">
        <v>589</v>
      </c>
      <c r="B53" s="6" t="s">
        <v>630</v>
      </c>
      <c r="C53" s="6">
        <v>27</v>
      </c>
      <c r="D53" s="6">
        <v>731.68799999999999</v>
      </c>
      <c r="E53" s="6">
        <v>26.17</v>
      </c>
      <c r="F53" s="49">
        <v>274.8</v>
      </c>
      <c r="G53" s="6">
        <v>0.98299999999999998</v>
      </c>
      <c r="H53" s="6">
        <v>-3.121</v>
      </c>
    </row>
    <row r="54" spans="1:28" x14ac:dyDescent="0.2">
      <c r="A54" s="6" t="s">
        <v>577</v>
      </c>
      <c r="B54" s="6" t="s">
        <v>630</v>
      </c>
      <c r="C54" s="6">
        <v>27</v>
      </c>
      <c r="D54" s="6">
        <v>731.68799999999999</v>
      </c>
      <c r="E54" s="6">
        <v>26.45</v>
      </c>
      <c r="F54" s="49">
        <v>224.5</v>
      </c>
      <c r="G54" s="6">
        <v>0.98299999999999998</v>
      </c>
      <c r="H54" s="6">
        <v>-3.121</v>
      </c>
    </row>
    <row r="55" spans="1:28" x14ac:dyDescent="0.2">
      <c r="A55" s="6" t="s">
        <v>565</v>
      </c>
      <c r="B55" s="6" t="s">
        <v>630</v>
      </c>
      <c r="C55" s="6">
        <v>27</v>
      </c>
      <c r="D55" s="6">
        <v>731.68799999999999</v>
      </c>
      <c r="E55" s="6">
        <v>26.5</v>
      </c>
      <c r="F55" s="49">
        <v>215.5</v>
      </c>
      <c r="G55" s="6">
        <v>0.98299999999999998</v>
      </c>
      <c r="H55" s="6">
        <v>-3.121</v>
      </c>
    </row>
    <row r="56" spans="1:28" x14ac:dyDescent="0.2">
      <c r="A56" s="6" t="s">
        <v>600</v>
      </c>
      <c r="B56" s="6" t="s">
        <v>668</v>
      </c>
      <c r="C56" s="6">
        <v>28</v>
      </c>
      <c r="D56" s="6">
        <v>731.68799999999999</v>
      </c>
      <c r="E56" s="6">
        <v>33.67</v>
      </c>
      <c r="F56" s="6">
        <v>1.0900000000000001</v>
      </c>
      <c r="G56" s="6">
        <v>0.98299999999999998</v>
      </c>
      <c r="H56" s="6">
        <v>-3.121</v>
      </c>
    </row>
    <row r="57" spans="1:28" x14ac:dyDescent="0.2">
      <c r="A57" s="6" t="s">
        <v>588</v>
      </c>
      <c r="B57" s="6" t="s">
        <v>630</v>
      </c>
      <c r="C57" s="6">
        <v>29</v>
      </c>
      <c r="D57" s="6">
        <v>731.68799999999999</v>
      </c>
      <c r="E57" s="6">
        <v>28.28</v>
      </c>
      <c r="F57" s="49">
        <v>57.83</v>
      </c>
      <c r="G57" s="6">
        <v>0.98299999999999998</v>
      </c>
      <c r="H57" s="6">
        <v>-3.121</v>
      </c>
    </row>
    <row r="58" spans="1:28" x14ac:dyDescent="0.2">
      <c r="A58" s="6" t="s">
        <v>576</v>
      </c>
      <c r="B58" s="6" t="s">
        <v>630</v>
      </c>
      <c r="C58" s="6">
        <v>29</v>
      </c>
      <c r="D58" s="6">
        <v>731.68799999999999</v>
      </c>
      <c r="E58" s="6">
        <v>28.21</v>
      </c>
      <c r="F58" s="49">
        <v>60.96</v>
      </c>
      <c r="G58" s="6">
        <v>0.98299999999999998</v>
      </c>
      <c r="H58" s="6">
        <v>-3.121</v>
      </c>
    </row>
    <row r="59" spans="1:28" x14ac:dyDescent="0.2">
      <c r="A59" s="6" t="s">
        <v>564</v>
      </c>
      <c r="B59" s="6" t="s">
        <v>630</v>
      </c>
      <c r="C59" s="6">
        <v>29</v>
      </c>
      <c r="D59" s="6">
        <v>731.68799999999999</v>
      </c>
      <c r="E59" s="6">
        <v>28.5</v>
      </c>
      <c r="F59" s="49">
        <v>49.28</v>
      </c>
      <c r="G59" s="6">
        <v>0.98299999999999998</v>
      </c>
      <c r="H59" s="6">
        <v>-3.121</v>
      </c>
    </row>
    <row r="60" spans="1:28" x14ac:dyDescent="0.2">
      <c r="A60" s="6" t="s">
        <v>599</v>
      </c>
      <c r="B60" s="6" t="s">
        <v>668</v>
      </c>
      <c r="C60" s="6">
        <v>30</v>
      </c>
      <c r="D60" s="6">
        <v>731.68799999999999</v>
      </c>
      <c r="E60" s="6">
        <v>31.16</v>
      </c>
      <c r="F60" s="6">
        <v>6.94</v>
      </c>
      <c r="G60" s="6">
        <v>0.98299999999999998</v>
      </c>
      <c r="H60" s="6">
        <v>-3.121</v>
      </c>
    </row>
    <row r="61" spans="1:28" x14ac:dyDescent="0.2">
      <c r="A61" s="6" t="s">
        <v>587</v>
      </c>
      <c r="B61" s="6" t="s">
        <v>630</v>
      </c>
      <c r="C61" s="6">
        <v>31</v>
      </c>
      <c r="D61" s="6">
        <v>731.68799999999999</v>
      </c>
      <c r="E61" s="6">
        <v>25.62</v>
      </c>
      <c r="F61" s="49">
        <v>412.4</v>
      </c>
      <c r="G61" s="6">
        <v>0.98299999999999998</v>
      </c>
      <c r="H61" s="6">
        <v>-3.121</v>
      </c>
    </row>
    <row r="62" spans="1:28" x14ac:dyDescent="0.2">
      <c r="A62" s="6" t="s">
        <v>575</v>
      </c>
      <c r="B62" s="6" t="s">
        <v>630</v>
      </c>
      <c r="C62" s="6">
        <v>31</v>
      </c>
      <c r="D62" s="6">
        <v>731.68799999999999</v>
      </c>
      <c r="E62" s="6">
        <v>25.29</v>
      </c>
      <c r="F62" s="49">
        <v>528.1</v>
      </c>
      <c r="G62" s="6">
        <v>0.98299999999999998</v>
      </c>
      <c r="H62" s="6">
        <v>-3.121</v>
      </c>
    </row>
    <row r="63" spans="1:28" x14ac:dyDescent="0.2">
      <c r="A63" s="6" t="s">
        <v>563</v>
      </c>
      <c r="B63" s="6" t="s">
        <v>630</v>
      </c>
      <c r="C63" s="6">
        <v>31</v>
      </c>
      <c r="D63" s="6">
        <v>731.68799999999999</v>
      </c>
      <c r="E63" s="6">
        <v>25.74</v>
      </c>
      <c r="F63" s="49">
        <v>378.8</v>
      </c>
      <c r="G63" s="6">
        <v>0.98299999999999998</v>
      </c>
      <c r="H63" s="6">
        <v>-3.121</v>
      </c>
    </row>
    <row r="64" spans="1:28" x14ac:dyDescent="0.2">
      <c r="A64" s="6" t="s">
        <v>598</v>
      </c>
      <c r="B64" s="6" t="s">
        <v>668</v>
      </c>
      <c r="C64" s="6">
        <v>32</v>
      </c>
      <c r="D64" s="6">
        <v>731.68799999999999</v>
      </c>
      <c r="E64" s="6">
        <v>35.39</v>
      </c>
      <c r="F64" s="49">
        <v>0.30470000000000003</v>
      </c>
      <c r="G64" s="6">
        <v>0.98299999999999998</v>
      </c>
      <c r="H64" s="6">
        <v>-3.121</v>
      </c>
      <c r="V64" s="117" t="s">
        <v>154</v>
      </c>
      <c r="W64" s="117"/>
      <c r="X64" s="117"/>
      <c r="Y64" s="117"/>
      <c r="Z64" s="117"/>
      <c r="AA64" s="117"/>
      <c r="AB64" s="117"/>
    </row>
    <row r="65" spans="1:28" x14ac:dyDescent="0.2">
      <c r="A65" s="6" t="s">
        <v>586</v>
      </c>
      <c r="B65" s="6" t="s">
        <v>630</v>
      </c>
      <c r="C65" s="6">
        <v>33</v>
      </c>
      <c r="D65" s="6">
        <v>731.68799999999999</v>
      </c>
      <c r="E65" s="6">
        <v>35.22</v>
      </c>
      <c r="F65" s="49">
        <v>0.34549999999999997</v>
      </c>
      <c r="G65" s="6">
        <v>0.98299999999999998</v>
      </c>
      <c r="H65" s="6">
        <v>-3.121</v>
      </c>
      <c r="V65" s="28" t="s">
        <v>680</v>
      </c>
      <c r="W65" s="3">
        <v>20000</v>
      </c>
      <c r="X65" s="3">
        <v>2000</v>
      </c>
      <c r="Y65" s="3">
        <v>200</v>
      </c>
      <c r="Z65" s="3">
        <v>20</v>
      </c>
      <c r="AA65" s="3">
        <v>10</v>
      </c>
      <c r="AB65" s="3">
        <v>1</v>
      </c>
    </row>
    <row r="66" spans="1:28" x14ac:dyDescent="0.2">
      <c r="A66" s="6" t="s">
        <v>574</v>
      </c>
      <c r="B66" s="6" t="s">
        <v>630</v>
      </c>
      <c r="C66" s="6">
        <v>33</v>
      </c>
      <c r="D66" s="6">
        <v>731.68799999999999</v>
      </c>
      <c r="E66" s="6">
        <v>35.700000000000003</v>
      </c>
      <c r="F66" s="49">
        <v>0.2429</v>
      </c>
      <c r="G66" s="6">
        <v>0.98299999999999998</v>
      </c>
      <c r="H66" s="6">
        <v>-3.121</v>
      </c>
      <c r="V66" s="28" t="s">
        <v>620</v>
      </c>
      <c r="W66" s="6">
        <v>20.83</v>
      </c>
      <c r="X66" s="6">
        <v>22.79</v>
      </c>
      <c r="Y66" s="6">
        <v>26.41</v>
      </c>
      <c r="Z66" s="6">
        <v>29.44</v>
      </c>
      <c r="AA66" s="6">
        <v>31.74</v>
      </c>
      <c r="AB66" s="6">
        <v>33.4</v>
      </c>
    </row>
    <row r="67" spans="1:28" x14ac:dyDescent="0.2">
      <c r="A67" s="6" t="s">
        <v>562</v>
      </c>
      <c r="B67" s="6" t="s">
        <v>630</v>
      </c>
      <c r="C67" s="6">
        <v>33</v>
      </c>
      <c r="D67" s="6">
        <v>731.68799999999999</v>
      </c>
      <c r="E67" s="6">
        <v>35.06</v>
      </c>
      <c r="F67" s="49">
        <v>0.3896</v>
      </c>
      <c r="G67" s="6">
        <v>0.98299999999999998</v>
      </c>
      <c r="H67" s="6">
        <v>-3.121</v>
      </c>
      <c r="V67" s="28" t="s">
        <v>620</v>
      </c>
    </row>
    <row r="68" spans="1:28" x14ac:dyDescent="0.2">
      <c r="A68" s="6" t="s">
        <v>573</v>
      </c>
      <c r="B68" s="6" t="s">
        <v>630</v>
      </c>
      <c r="C68" s="6">
        <v>34</v>
      </c>
      <c r="D68" s="6">
        <v>731.68799999999999</v>
      </c>
      <c r="E68" s="6" t="s">
        <v>669</v>
      </c>
      <c r="F68" s="6" t="s">
        <v>669</v>
      </c>
      <c r="G68" s="6">
        <v>0.98299999999999998</v>
      </c>
      <c r="H68" s="6">
        <v>-3.121</v>
      </c>
      <c r="V68" s="28" t="s">
        <v>12</v>
      </c>
      <c r="W68" s="6">
        <f>AVERAGE(W66:W67)</f>
        <v>20.83</v>
      </c>
      <c r="X68" s="6">
        <f>AVERAGE(X66:X67)</f>
        <v>22.79</v>
      </c>
      <c r="Y68" s="6">
        <f>AVERAGE(Y66:Y67)</f>
        <v>26.41</v>
      </c>
      <c r="Z68" s="6">
        <f>AVERAGE(Z66:Z67)</f>
        <v>29.44</v>
      </c>
      <c r="AA68" s="6">
        <f>AVERAGE(AA66:AA67)</f>
        <v>31.74</v>
      </c>
      <c r="AB68" s="6">
        <f>AVERAGE(AB66:AB67)</f>
        <v>33.4</v>
      </c>
    </row>
    <row r="69" spans="1:28" x14ac:dyDescent="0.2">
      <c r="A69" s="6" t="s">
        <v>561</v>
      </c>
      <c r="B69" s="6" t="s">
        <v>630</v>
      </c>
      <c r="C69" s="6">
        <v>34</v>
      </c>
      <c r="D69" s="6">
        <v>731.68799999999999</v>
      </c>
      <c r="E69" s="6" t="s">
        <v>669</v>
      </c>
      <c r="F69" s="6" t="s">
        <v>669</v>
      </c>
      <c r="G69" s="6">
        <v>0.98299999999999998</v>
      </c>
      <c r="H69" s="6">
        <v>-3.121</v>
      </c>
      <c r="M69" s="6">
        <v>29.21</v>
      </c>
      <c r="N69" s="6">
        <v>27.75</v>
      </c>
      <c r="O69" s="6">
        <v>26.78</v>
      </c>
      <c r="P69" s="6">
        <v>24</v>
      </c>
      <c r="Q69" s="6">
        <v>35.43</v>
      </c>
      <c r="V69" s="28" t="s">
        <v>617</v>
      </c>
      <c r="W69" s="6">
        <f>LOG(W65,2)</f>
        <v>14.287712379549449</v>
      </c>
      <c r="X69" s="6">
        <f>LOG(X65,2)</f>
        <v>10.965784284662087</v>
      </c>
      <c r="Y69" s="6">
        <f>LOG(Y65,2)</f>
        <v>7.6438561897747244</v>
      </c>
      <c r="Z69" s="6">
        <f>LOG(Z65,2)</f>
        <v>4.3219280948873626</v>
      </c>
      <c r="AA69" s="6">
        <f>LOG(AA65,2)</f>
        <v>3.3219280948873626</v>
      </c>
      <c r="AB69" s="6">
        <f>LOG(AB65,2)</f>
        <v>0</v>
      </c>
    </row>
    <row r="70" spans="1:28" x14ac:dyDescent="0.2">
      <c r="A70" s="6" t="s">
        <v>596</v>
      </c>
      <c r="B70" s="6" t="s">
        <v>668</v>
      </c>
      <c r="C70" s="6">
        <v>35</v>
      </c>
      <c r="D70" s="6">
        <v>731.68799999999999</v>
      </c>
      <c r="E70" s="6">
        <v>34.49</v>
      </c>
      <c r="F70" s="49">
        <v>0.59189999999999998</v>
      </c>
      <c r="G70" s="6">
        <v>0.98299999999999998</v>
      </c>
      <c r="H70" s="6">
        <v>-3.121</v>
      </c>
      <c r="L70" s="6" t="s">
        <v>669</v>
      </c>
      <c r="M70" s="6">
        <v>29.03</v>
      </c>
      <c r="N70" s="6">
        <v>27.24</v>
      </c>
      <c r="O70" s="6">
        <v>26.79</v>
      </c>
      <c r="P70" s="6">
        <v>23.85</v>
      </c>
      <c r="Q70" s="6">
        <v>36.270000000000003</v>
      </c>
    </row>
    <row r="71" spans="1:28" x14ac:dyDescent="0.2">
      <c r="A71" s="6" t="s">
        <v>584</v>
      </c>
      <c r="B71" s="6" t="s">
        <v>630</v>
      </c>
      <c r="C71" s="6">
        <v>36</v>
      </c>
      <c r="D71" s="6">
        <v>731.68799999999999</v>
      </c>
      <c r="E71" s="6">
        <v>29.21</v>
      </c>
      <c r="F71" s="49">
        <v>29.17</v>
      </c>
      <c r="G71" s="6">
        <v>0.98299999999999998</v>
      </c>
      <c r="H71" s="6">
        <v>-3.121</v>
      </c>
      <c r="L71" s="6" t="s">
        <v>669</v>
      </c>
      <c r="M71" s="6">
        <v>28.71</v>
      </c>
      <c r="N71" s="6">
        <v>27.27</v>
      </c>
      <c r="O71" s="6">
        <v>26.67</v>
      </c>
      <c r="P71" s="6">
        <v>24.04</v>
      </c>
      <c r="Q71" s="6" t="s">
        <v>669</v>
      </c>
    </row>
    <row r="72" spans="1:28" x14ac:dyDescent="0.2">
      <c r="A72" s="6" t="s">
        <v>572</v>
      </c>
      <c r="B72" s="6" t="s">
        <v>630</v>
      </c>
      <c r="C72" s="6">
        <v>36</v>
      </c>
      <c r="D72" s="6">
        <v>731.68799999999999</v>
      </c>
      <c r="E72" s="6">
        <v>29.03</v>
      </c>
      <c r="F72" s="49">
        <v>33.369999999999997</v>
      </c>
      <c r="G72" s="6">
        <v>0.98299999999999998</v>
      </c>
      <c r="H72" s="6">
        <v>-3.121</v>
      </c>
      <c r="M72" s="6">
        <v>34.49</v>
      </c>
      <c r="N72" s="6">
        <v>33.590000000000003</v>
      </c>
      <c r="O72" s="6">
        <v>33.159999999999997</v>
      </c>
      <c r="P72" s="6">
        <v>30.43</v>
      </c>
      <c r="Q72" s="6">
        <v>36.25</v>
      </c>
    </row>
    <row r="73" spans="1:28" x14ac:dyDescent="0.2">
      <c r="A73" s="6" t="s">
        <v>560</v>
      </c>
      <c r="B73" s="6" t="s">
        <v>630</v>
      </c>
      <c r="C73" s="6">
        <v>36</v>
      </c>
      <c r="D73" s="6">
        <v>731.68799999999999</v>
      </c>
      <c r="E73" s="6">
        <v>28.71</v>
      </c>
      <c r="F73" s="49">
        <v>42.33</v>
      </c>
      <c r="G73" s="6">
        <v>0.98299999999999998</v>
      </c>
      <c r="H73" s="6">
        <v>-3.121</v>
      </c>
    </row>
    <row r="74" spans="1:28" x14ac:dyDescent="0.2">
      <c r="A74" s="6" t="s">
        <v>595</v>
      </c>
      <c r="B74" s="6" t="s">
        <v>668</v>
      </c>
      <c r="C74" s="6">
        <v>37</v>
      </c>
      <c r="D74" s="6">
        <v>731.68799999999999</v>
      </c>
      <c r="E74" s="6">
        <v>33.590000000000003</v>
      </c>
      <c r="F74" s="6">
        <v>1.1499999999999999</v>
      </c>
      <c r="G74" s="6">
        <v>0.98299999999999998</v>
      </c>
      <c r="H74" s="6">
        <v>-3.121</v>
      </c>
    </row>
    <row r="75" spans="1:28" x14ac:dyDescent="0.2">
      <c r="A75" s="6" t="s">
        <v>583</v>
      </c>
      <c r="B75" s="6" t="s">
        <v>630</v>
      </c>
      <c r="C75" s="6">
        <v>38</v>
      </c>
      <c r="D75" s="6">
        <v>731.68799999999999</v>
      </c>
      <c r="E75" s="6">
        <v>27.75</v>
      </c>
      <c r="F75" s="49">
        <v>85.84</v>
      </c>
      <c r="G75" s="6">
        <v>0.98299999999999998</v>
      </c>
      <c r="H75" s="6">
        <v>-3.121</v>
      </c>
    </row>
    <row r="76" spans="1:28" x14ac:dyDescent="0.2">
      <c r="A76" s="6" t="s">
        <v>571</v>
      </c>
      <c r="B76" s="6" t="s">
        <v>630</v>
      </c>
      <c r="C76" s="6">
        <v>38</v>
      </c>
      <c r="D76" s="6">
        <v>731.68799999999999</v>
      </c>
      <c r="E76" s="6">
        <v>27.24</v>
      </c>
      <c r="F76" s="49">
        <v>125.4</v>
      </c>
      <c r="G76" s="6">
        <v>0.98299999999999998</v>
      </c>
      <c r="H76" s="6">
        <v>-3.121</v>
      </c>
    </row>
    <row r="77" spans="1:28" x14ac:dyDescent="0.2">
      <c r="A77" s="6" t="s">
        <v>559</v>
      </c>
      <c r="B77" s="6" t="s">
        <v>630</v>
      </c>
      <c r="C77" s="6">
        <v>38</v>
      </c>
      <c r="D77" s="6">
        <v>731.68799999999999</v>
      </c>
      <c r="E77" s="6">
        <v>27.27</v>
      </c>
      <c r="F77" s="49">
        <v>122.1</v>
      </c>
      <c r="G77" s="6">
        <v>0.98299999999999998</v>
      </c>
      <c r="H77" s="6">
        <v>-3.121</v>
      </c>
    </row>
    <row r="78" spans="1:28" x14ac:dyDescent="0.2">
      <c r="A78" s="6" t="s">
        <v>594</v>
      </c>
      <c r="B78" s="6" t="s">
        <v>668</v>
      </c>
      <c r="C78" s="6">
        <v>39</v>
      </c>
      <c r="D78" s="6">
        <v>731.68799999999999</v>
      </c>
      <c r="E78" s="6">
        <v>33.159999999999997</v>
      </c>
      <c r="F78" s="6">
        <v>1.59</v>
      </c>
      <c r="G78" s="6">
        <v>0.98299999999999998</v>
      </c>
      <c r="H78" s="6">
        <v>-3.121</v>
      </c>
    </row>
    <row r="79" spans="1:28" x14ac:dyDescent="0.2">
      <c r="A79" s="6" t="s">
        <v>582</v>
      </c>
      <c r="B79" s="6" t="s">
        <v>630</v>
      </c>
      <c r="C79" s="6">
        <v>40</v>
      </c>
      <c r="D79" s="6">
        <v>731.68799999999999</v>
      </c>
      <c r="E79" s="6">
        <v>26.78</v>
      </c>
      <c r="F79" s="49">
        <v>175.8</v>
      </c>
      <c r="G79" s="6">
        <v>0.98299999999999998</v>
      </c>
      <c r="H79" s="6">
        <v>-3.121</v>
      </c>
    </row>
    <row r="80" spans="1:28" x14ac:dyDescent="0.2">
      <c r="A80" s="6" t="s">
        <v>570</v>
      </c>
      <c r="B80" s="6" t="s">
        <v>630</v>
      </c>
      <c r="C80" s="6">
        <v>40</v>
      </c>
      <c r="D80" s="6">
        <v>731.68799999999999</v>
      </c>
      <c r="E80" s="6">
        <v>26.79</v>
      </c>
      <c r="F80" s="49">
        <v>174.2</v>
      </c>
      <c r="G80" s="6">
        <v>0.98299999999999998</v>
      </c>
      <c r="H80" s="6">
        <v>-3.121</v>
      </c>
    </row>
    <row r="81" spans="1:18" x14ac:dyDescent="0.2">
      <c r="A81" s="6" t="s">
        <v>558</v>
      </c>
      <c r="B81" s="6" t="s">
        <v>630</v>
      </c>
      <c r="C81" s="6">
        <v>40</v>
      </c>
      <c r="D81" s="6">
        <v>731.68799999999999</v>
      </c>
      <c r="E81" s="6">
        <v>26.67</v>
      </c>
      <c r="F81" s="49">
        <v>190.8</v>
      </c>
      <c r="G81" s="6">
        <v>0.98299999999999998</v>
      </c>
      <c r="H81" s="6">
        <v>-3.121</v>
      </c>
    </row>
    <row r="82" spans="1:18" x14ac:dyDescent="0.2">
      <c r="A82" s="6" t="s">
        <v>593</v>
      </c>
      <c r="B82" s="6" t="s">
        <v>668</v>
      </c>
      <c r="C82" s="6">
        <v>41</v>
      </c>
      <c r="D82" s="6">
        <v>731.68799999999999</v>
      </c>
      <c r="E82" s="6">
        <v>30.43</v>
      </c>
      <c r="F82" s="49">
        <v>11.87</v>
      </c>
      <c r="G82" s="6">
        <v>0.98299999999999998</v>
      </c>
      <c r="H82" s="6">
        <v>-3.121</v>
      </c>
    </row>
    <row r="83" spans="1:18" x14ac:dyDescent="0.2">
      <c r="A83" s="6" t="s">
        <v>581</v>
      </c>
      <c r="B83" s="6" t="s">
        <v>630</v>
      </c>
      <c r="C83" s="6">
        <v>42</v>
      </c>
      <c r="D83" s="6">
        <v>731.68799999999999</v>
      </c>
      <c r="E83" s="6">
        <v>24</v>
      </c>
      <c r="F83" s="49">
        <v>1365</v>
      </c>
      <c r="G83" s="6">
        <v>0.98299999999999998</v>
      </c>
      <c r="H83" s="6">
        <v>-3.121</v>
      </c>
      <c r="N83" s="6">
        <v>20.83</v>
      </c>
      <c r="O83" s="6">
        <v>22.79</v>
      </c>
      <c r="P83" s="6">
        <v>26.41</v>
      </c>
      <c r="Q83" s="6">
        <v>29.44</v>
      </c>
      <c r="R83" s="6">
        <v>31.74</v>
      </c>
    </row>
    <row r="84" spans="1:18" x14ac:dyDescent="0.2">
      <c r="A84" s="6" t="s">
        <v>569</v>
      </c>
      <c r="B84" s="6" t="s">
        <v>630</v>
      </c>
      <c r="C84" s="6">
        <v>42</v>
      </c>
      <c r="D84" s="6">
        <v>731.68799999999999</v>
      </c>
      <c r="E84" s="6">
        <v>23.85</v>
      </c>
      <c r="F84" s="49">
        <v>1521</v>
      </c>
      <c r="G84" s="6">
        <v>0.98299999999999998</v>
      </c>
      <c r="H84" s="6">
        <v>-3.121</v>
      </c>
      <c r="R84" s="6">
        <v>39.979999999999997</v>
      </c>
    </row>
    <row r="85" spans="1:18" x14ac:dyDescent="0.2">
      <c r="A85" s="6" t="s">
        <v>557</v>
      </c>
      <c r="B85" s="6" t="s">
        <v>630</v>
      </c>
      <c r="C85" s="6">
        <v>42</v>
      </c>
      <c r="D85" s="6">
        <v>731.68799999999999</v>
      </c>
      <c r="E85" s="6">
        <v>24.04</v>
      </c>
      <c r="F85" s="49">
        <v>1320</v>
      </c>
      <c r="G85" s="6">
        <v>0.98299999999999998</v>
      </c>
      <c r="H85" s="6">
        <v>-3.121</v>
      </c>
    </row>
    <row r="86" spans="1:18" x14ac:dyDescent="0.2">
      <c r="A86" s="6" t="s">
        <v>592</v>
      </c>
      <c r="B86" s="6" t="s">
        <v>668</v>
      </c>
      <c r="C86" s="6">
        <v>43</v>
      </c>
      <c r="D86" s="6">
        <v>731.68799999999999</v>
      </c>
      <c r="E86" s="6">
        <v>36.25</v>
      </c>
      <c r="F86" s="49">
        <v>0.1618</v>
      </c>
      <c r="G86" s="6">
        <v>0.98299999999999998</v>
      </c>
      <c r="H86" s="6">
        <v>-3.121</v>
      </c>
    </row>
    <row r="87" spans="1:18" x14ac:dyDescent="0.2">
      <c r="A87" s="6" t="s">
        <v>580</v>
      </c>
      <c r="B87" s="6" t="s">
        <v>630</v>
      </c>
      <c r="C87" s="6">
        <v>44</v>
      </c>
      <c r="D87" s="6">
        <v>731.68799999999999</v>
      </c>
      <c r="E87" s="6">
        <v>35.43</v>
      </c>
      <c r="F87" s="49">
        <v>0.29730000000000001</v>
      </c>
      <c r="G87" s="6">
        <v>0.98299999999999998</v>
      </c>
      <c r="H87" s="6">
        <v>-3.121</v>
      </c>
    </row>
    <row r="88" spans="1:18" x14ac:dyDescent="0.2">
      <c r="A88" s="6" t="s">
        <v>568</v>
      </c>
      <c r="B88" s="6" t="s">
        <v>630</v>
      </c>
      <c r="C88" s="6">
        <v>44</v>
      </c>
      <c r="D88" s="6">
        <v>731.68799999999999</v>
      </c>
      <c r="E88" s="6">
        <v>36.270000000000003</v>
      </c>
      <c r="F88" s="49">
        <v>0.16</v>
      </c>
      <c r="G88" s="6">
        <v>0.98299999999999998</v>
      </c>
      <c r="H88" s="6">
        <v>-3.121</v>
      </c>
    </row>
    <row r="89" spans="1:18" x14ac:dyDescent="0.2">
      <c r="A89" s="6" t="s">
        <v>556</v>
      </c>
      <c r="B89" s="6" t="s">
        <v>630</v>
      </c>
      <c r="C89" s="6">
        <v>44</v>
      </c>
      <c r="D89" s="6">
        <v>731.68799999999999</v>
      </c>
      <c r="E89" s="6" t="s">
        <v>669</v>
      </c>
      <c r="F89" s="6" t="s">
        <v>669</v>
      </c>
      <c r="G89" s="6">
        <v>0.98299999999999998</v>
      </c>
      <c r="H89" s="6">
        <v>-3.121</v>
      </c>
    </row>
    <row r="90" spans="1:18" x14ac:dyDescent="0.2">
      <c r="A90" s="6" t="s">
        <v>659</v>
      </c>
      <c r="B90" s="6" t="s">
        <v>33</v>
      </c>
      <c r="C90" s="6" t="s">
        <v>554</v>
      </c>
      <c r="D90" s="6">
        <v>731.68799999999999</v>
      </c>
      <c r="E90" s="6">
        <v>20.83</v>
      </c>
      <c r="F90" s="49">
        <v>20000</v>
      </c>
      <c r="G90" s="6">
        <v>0.98299999999999998</v>
      </c>
      <c r="H90" s="6">
        <v>-3.121</v>
      </c>
    </row>
    <row r="91" spans="1:18" x14ac:dyDescent="0.2">
      <c r="A91" s="6" t="s">
        <v>629</v>
      </c>
      <c r="B91" s="6" t="s">
        <v>33</v>
      </c>
      <c r="C91" s="6" t="s">
        <v>554</v>
      </c>
      <c r="D91" s="6">
        <v>731.68799999999999</v>
      </c>
      <c r="E91" s="6">
        <v>26.41</v>
      </c>
      <c r="F91" s="49">
        <v>200</v>
      </c>
      <c r="G91" s="6">
        <v>0.98299999999999998</v>
      </c>
      <c r="H91" s="6">
        <v>-3.121</v>
      </c>
    </row>
    <row r="92" spans="1:18" x14ac:dyDescent="0.2">
      <c r="A92" s="6" t="s">
        <v>658</v>
      </c>
      <c r="B92" s="6" t="s">
        <v>33</v>
      </c>
      <c r="C92" s="6" t="s">
        <v>554</v>
      </c>
      <c r="D92" s="6">
        <v>731.68799999999999</v>
      </c>
      <c r="E92" s="6">
        <v>22.79</v>
      </c>
      <c r="F92" s="49">
        <v>2000</v>
      </c>
      <c r="G92" s="6">
        <v>0.98299999999999998</v>
      </c>
      <c r="H92" s="6">
        <v>-3.121</v>
      </c>
    </row>
    <row r="93" spans="1:18" x14ac:dyDescent="0.2">
      <c r="A93" s="6" t="s">
        <v>623</v>
      </c>
      <c r="B93" s="6" t="s">
        <v>33</v>
      </c>
      <c r="C93" s="6" t="s">
        <v>554</v>
      </c>
      <c r="D93" s="6">
        <v>731.68799999999999</v>
      </c>
      <c r="E93" s="6">
        <v>29.44</v>
      </c>
      <c r="F93" s="49">
        <v>20</v>
      </c>
      <c r="G93" s="6">
        <v>0.98299999999999998</v>
      </c>
      <c r="H93" s="6">
        <v>-3.121</v>
      </c>
    </row>
    <row r="94" spans="1:18" x14ac:dyDescent="0.2">
      <c r="A94" s="6" t="s">
        <v>603</v>
      </c>
      <c r="B94" s="6" t="s">
        <v>33</v>
      </c>
      <c r="C94" s="6" t="s">
        <v>554</v>
      </c>
      <c r="D94" s="6">
        <v>731.68799999999999</v>
      </c>
      <c r="E94" s="6">
        <v>31.74</v>
      </c>
      <c r="F94" s="49">
        <v>10</v>
      </c>
      <c r="G94" s="6">
        <v>0.98299999999999998</v>
      </c>
      <c r="H94" s="6">
        <v>-3.121</v>
      </c>
    </row>
    <row r="95" spans="1:18" x14ac:dyDescent="0.2">
      <c r="A95" s="6" t="s">
        <v>597</v>
      </c>
      <c r="B95" s="6" t="s">
        <v>670</v>
      </c>
      <c r="C95" s="6" t="s">
        <v>554</v>
      </c>
      <c r="D95" s="6">
        <v>731.68799999999999</v>
      </c>
      <c r="E95" s="6" t="s">
        <v>669</v>
      </c>
      <c r="F95" s="6" t="s">
        <v>669</v>
      </c>
      <c r="G95" s="6">
        <v>0.98299999999999998</v>
      </c>
      <c r="H95" s="6">
        <v>-3.121</v>
      </c>
    </row>
    <row r="96" spans="1:18" x14ac:dyDescent="0.2">
      <c r="A96" s="6" t="s">
        <v>591</v>
      </c>
      <c r="B96" s="6" t="s">
        <v>33</v>
      </c>
      <c r="C96" s="6" t="s">
        <v>554</v>
      </c>
      <c r="D96" s="6">
        <v>731.68799999999999</v>
      </c>
      <c r="E96" s="6">
        <v>33.4</v>
      </c>
      <c r="F96" s="49">
        <v>1</v>
      </c>
      <c r="G96" s="6">
        <v>0.98299999999999998</v>
      </c>
      <c r="H96" s="6">
        <v>-3.121</v>
      </c>
    </row>
    <row r="97" spans="1:8" x14ac:dyDescent="0.2">
      <c r="A97" s="6" t="s">
        <v>585</v>
      </c>
      <c r="B97" s="6" t="s">
        <v>668</v>
      </c>
      <c r="C97" s="6" t="s">
        <v>554</v>
      </c>
      <c r="D97" s="6">
        <v>731.68799999999999</v>
      </c>
      <c r="E97" s="6">
        <v>39.979999999999997</v>
      </c>
      <c r="F97" s="49">
        <v>1.0370000000000001E-2</v>
      </c>
      <c r="G97" s="6">
        <v>0.98299999999999998</v>
      </c>
      <c r="H97" s="6">
        <v>-3.121</v>
      </c>
    </row>
  </sheetData>
  <mergeCells count="5">
    <mergeCell ref="V2:AD2"/>
    <mergeCell ref="AE2:AM2"/>
    <mergeCell ref="V19:AD19"/>
    <mergeCell ref="AE19:AM19"/>
    <mergeCell ref="V64:AB64"/>
  </mergeCells>
  <pageMargins left="0.75" right="0.75" top="1" bottom="1" header="0.5" footer="0.5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BBC0-A521-1C42-A919-9EAC376CCBCD}">
  <dimension ref="A2:AN72"/>
  <sheetViews>
    <sheetView showZeros="0" topLeftCell="A6" workbookViewId="0">
      <selection activeCell="A6" sqref="A1:B1048576"/>
    </sheetView>
  </sheetViews>
  <sheetFormatPr baseColWidth="10" defaultColWidth="8.83203125" defaultRowHeight="15" x14ac:dyDescent="0.2"/>
  <cols>
    <col min="1" max="2" width="20.83203125" style="6" customWidth="1"/>
    <col min="3" max="3" width="11.33203125" style="6" customWidth="1"/>
    <col min="4" max="10" width="8.83203125" style="6"/>
    <col min="11" max="11" width="12" style="6" bestFit="1" customWidth="1"/>
    <col min="12" max="13" width="8.83203125" style="6"/>
    <col min="14" max="15" width="12.1640625" style="6" bestFit="1" customWidth="1"/>
    <col min="16" max="16384" width="8.83203125" style="6"/>
  </cols>
  <sheetData>
    <row r="2" spans="1:40" ht="16" x14ac:dyDescent="0.2">
      <c r="A2" s="6" t="str">
        <f>'VSV eGFP 171013 '!A2</f>
        <v>Bolded = raw data</v>
      </c>
      <c r="AA2" s="101" t="s">
        <v>2</v>
      </c>
      <c r="AB2" s="101"/>
      <c r="AC2" s="101"/>
      <c r="AD2" s="101"/>
      <c r="AE2" s="101" t="s">
        <v>3</v>
      </c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ht="16" x14ac:dyDescent="0.2">
      <c r="A3" s="6" t="str">
        <f>'VSV eGFP 171013 '!A3</f>
        <v>4 separate samples, 2x replicate s from each for ELISA</v>
      </c>
      <c r="B3" s="5"/>
      <c r="H3" s="6" t="s">
        <v>8</v>
      </c>
      <c r="AA3" s="101" t="s">
        <v>4</v>
      </c>
      <c r="AB3" s="101"/>
      <c r="AC3" s="101"/>
      <c r="AD3" s="101"/>
      <c r="AE3" s="101" t="s">
        <v>5</v>
      </c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6" x14ac:dyDescent="0.2">
      <c r="A4" s="6" t="str">
        <f>'VSV eGFP 171013 '!A4</f>
        <v>Cell type</v>
      </c>
      <c r="B4" s="3"/>
      <c r="Q4" s="3" t="s">
        <v>33</v>
      </c>
      <c r="AA4" s="101" t="s">
        <v>6</v>
      </c>
      <c r="AB4" s="101"/>
      <c r="AC4" s="101"/>
      <c r="AD4" s="101"/>
      <c r="AE4" s="101" t="s">
        <v>7</v>
      </c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6" x14ac:dyDescent="0.2">
      <c r="A5" s="6" t="str">
        <f>'VSV eGFP 171013 '!A5</f>
        <v>Stimulation -</v>
      </c>
      <c r="B5" s="3" t="s">
        <v>174</v>
      </c>
      <c r="D5" s="3" t="s">
        <v>49</v>
      </c>
      <c r="E5" s="3" t="s">
        <v>49</v>
      </c>
      <c r="F5" s="3" t="s">
        <v>49</v>
      </c>
      <c r="G5" s="3" t="s">
        <v>49</v>
      </c>
      <c r="H5" s="3" t="s">
        <v>49</v>
      </c>
      <c r="J5" s="53" t="s">
        <v>48</v>
      </c>
      <c r="K5" s="53" t="s">
        <v>49</v>
      </c>
      <c r="L5" s="53" t="s">
        <v>49</v>
      </c>
      <c r="M5" s="53" t="s">
        <v>49</v>
      </c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</row>
    <row r="6" spans="1:40" ht="16" x14ac:dyDescent="0.2">
      <c r="A6" s="6" t="str">
        <f>'VSV eGFP 171013 '!A6</f>
        <v xml:space="preserve">CXCL10 ELISA date </v>
      </c>
      <c r="B6" s="6" t="s">
        <v>177</v>
      </c>
      <c r="D6" s="3">
        <v>0</v>
      </c>
      <c r="E6" s="3">
        <v>6.25E-2</v>
      </c>
      <c r="F6" s="3">
        <v>0.125</v>
      </c>
      <c r="G6" s="3">
        <v>0.25</v>
      </c>
      <c r="H6" s="3">
        <v>0.5</v>
      </c>
      <c r="L6" s="53" t="s">
        <v>144</v>
      </c>
      <c r="M6" s="53" t="s">
        <v>145</v>
      </c>
      <c r="AA6" s="101" t="s">
        <v>52</v>
      </c>
      <c r="AB6" s="102">
        <v>43026</v>
      </c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40" ht="16" x14ac:dyDescent="0.2">
      <c r="D7" s="3"/>
      <c r="E7" s="3"/>
      <c r="F7" s="3"/>
      <c r="G7" s="3"/>
      <c r="H7" s="3"/>
      <c r="L7" s="53"/>
      <c r="M7" s="53"/>
      <c r="AA7" s="101" t="s">
        <v>53</v>
      </c>
      <c r="AB7" s="103">
        <v>0.68991898148148145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16" x14ac:dyDescent="0.2">
      <c r="A8" s="6" t="str">
        <f>'VSV eGFP 171013 '!A8</f>
        <v>DILUTION for elisa</v>
      </c>
      <c r="B8" s="6" t="s">
        <v>175</v>
      </c>
      <c r="D8" s="3">
        <v>100</v>
      </c>
      <c r="E8" s="3">
        <v>100</v>
      </c>
      <c r="F8" s="3">
        <v>100</v>
      </c>
      <c r="G8" s="3">
        <v>100</v>
      </c>
      <c r="H8" s="3">
        <v>100</v>
      </c>
      <c r="J8" s="6">
        <v>5</v>
      </c>
      <c r="K8" s="6">
        <v>5</v>
      </c>
      <c r="L8" s="53">
        <v>5</v>
      </c>
      <c r="M8" s="53">
        <v>5</v>
      </c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40" ht="16" x14ac:dyDescent="0.2">
      <c r="A9" s="6">
        <f>'VSV eGFP 171013 '!A9</f>
        <v>0</v>
      </c>
      <c r="B9" s="3" t="s">
        <v>173</v>
      </c>
      <c r="C9" s="6" t="s">
        <v>78</v>
      </c>
      <c r="D9" s="6">
        <v>0.1729000061750412</v>
      </c>
      <c r="E9" s="6">
        <v>0.23029999434947968</v>
      </c>
      <c r="F9" s="6">
        <v>0.29640001058578491</v>
      </c>
      <c r="G9" s="6">
        <v>0.33460000157356262</v>
      </c>
      <c r="H9" s="6">
        <v>0.4650999903678894</v>
      </c>
      <c r="J9" s="6">
        <v>0.13089999556541443</v>
      </c>
      <c r="K9" s="6">
        <v>0.71160000562667847</v>
      </c>
      <c r="L9" s="6">
        <v>0.63319998979568481</v>
      </c>
      <c r="M9" s="6">
        <v>0.58429998159408569</v>
      </c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</row>
    <row r="10" spans="1:40" ht="16" x14ac:dyDescent="0.2">
      <c r="A10" s="6">
        <f>'VSV eGFP 171013 '!A10</f>
        <v>0</v>
      </c>
      <c r="B10" s="3"/>
      <c r="C10" s="6" t="s">
        <v>79</v>
      </c>
      <c r="D10" s="6">
        <v>0.15649999678134918</v>
      </c>
      <c r="E10" s="6">
        <v>0.35710000991821289</v>
      </c>
      <c r="F10" s="6">
        <v>0.37040001153945923</v>
      </c>
      <c r="G10" s="6">
        <v>0.32199999690055847</v>
      </c>
      <c r="H10" s="6">
        <v>0.4253000020980835</v>
      </c>
      <c r="J10" s="6">
        <v>0.22349999845027924</v>
      </c>
      <c r="K10" s="6">
        <v>0.93919998407363892</v>
      </c>
      <c r="L10" s="6">
        <v>0.94349998235702515</v>
      </c>
      <c r="M10" s="6">
        <v>0.8783000111579895</v>
      </c>
      <c r="AA10" s="101" t="s">
        <v>10</v>
      </c>
      <c r="AB10" s="101"/>
      <c r="AC10" s="101"/>
      <c r="AD10" s="101"/>
      <c r="AE10" s="101" t="s">
        <v>11</v>
      </c>
      <c r="AF10" s="101"/>
      <c r="AG10" s="101"/>
      <c r="AH10" s="101"/>
      <c r="AI10" s="101"/>
      <c r="AJ10" s="101"/>
      <c r="AK10" s="101"/>
      <c r="AL10" s="101"/>
      <c r="AM10" s="101"/>
      <c r="AN10" s="101"/>
    </row>
    <row r="11" spans="1:40" ht="16" x14ac:dyDescent="0.2">
      <c r="A11" s="6">
        <f>'VSV eGFP 171013 '!A11</f>
        <v>0</v>
      </c>
      <c r="C11" s="6" t="s">
        <v>12</v>
      </c>
      <c r="D11" s="6">
        <f>AVERAGE(D9:D10)</f>
        <v>0.16470000147819519</v>
      </c>
      <c r="E11" s="6">
        <f>AVERAGE(E9:E10)</f>
        <v>0.29370000213384628</v>
      </c>
      <c r="F11" s="6">
        <f>AVERAGE(F9:F10)</f>
        <v>0.33340001106262207</v>
      </c>
      <c r="G11" s="6">
        <f>AVERAGE(G9:G10)</f>
        <v>0.32829999923706055</v>
      </c>
      <c r="H11" s="6">
        <f>AVERAGE(H9:H10)</f>
        <v>0.44519999623298645</v>
      </c>
      <c r="J11" s="6">
        <f>AVERAGE(J9:J10)</f>
        <v>0.17719999700784683</v>
      </c>
      <c r="K11" s="6">
        <f>AVERAGE(K9:K10)</f>
        <v>0.82539999485015869</v>
      </c>
      <c r="L11" s="6">
        <f>AVERAGE(L9:L10)</f>
        <v>0.78834998607635498</v>
      </c>
      <c r="M11" s="6">
        <f>AVERAGE(M9:M10)</f>
        <v>0.7312999963760376</v>
      </c>
      <c r="AA11" s="101" t="s">
        <v>14</v>
      </c>
      <c r="AB11" s="101"/>
      <c r="AC11" s="101"/>
      <c r="AD11" s="101"/>
      <c r="AE11" s="101" t="s">
        <v>285</v>
      </c>
      <c r="AF11" s="101"/>
      <c r="AG11" s="101"/>
      <c r="AH11" s="101"/>
      <c r="AI11" s="101"/>
      <c r="AJ11" s="101"/>
      <c r="AK11" s="101"/>
      <c r="AL11" s="101"/>
      <c r="AM11" s="101"/>
      <c r="AN11" s="101"/>
    </row>
    <row r="12" spans="1:40" ht="16" x14ac:dyDescent="0.2">
      <c r="A12" s="6" t="str">
        <f>'VSV eGFP 171013 '!A12</f>
        <v>Background minimal and at times &gt;mock, therefore values used as is, given transformation to fold change</v>
      </c>
      <c r="B12" s="2"/>
      <c r="C12" s="6" t="s">
        <v>16</v>
      </c>
      <c r="D12" s="6">
        <f>D11-$S$32</f>
        <v>8.5750002413988113E-2</v>
      </c>
      <c r="E12" s="6">
        <f>E11-$S$32</f>
        <v>0.21475000306963921</v>
      </c>
      <c r="F12" s="6">
        <f>F11-$S$32</f>
        <v>0.25445001199841499</v>
      </c>
      <c r="G12" s="6">
        <f>G11-$S$32</f>
        <v>0.24935000017285347</v>
      </c>
      <c r="H12" s="6">
        <f>H11-$S$32</f>
        <v>0.36624999716877937</v>
      </c>
      <c r="J12" s="6">
        <f>J11-$S$32</f>
        <v>9.8249997943639755E-2</v>
      </c>
      <c r="K12" s="6">
        <f>K11-$S$32</f>
        <v>0.74644999578595161</v>
      </c>
      <c r="L12" s="6">
        <f>L11-$S$32</f>
        <v>0.7093999870121479</v>
      </c>
      <c r="M12" s="6">
        <f>M11-$S$32</f>
        <v>0.65234999731183052</v>
      </c>
      <c r="AA12" s="101" t="s">
        <v>17</v>
      </c>
      <c r="AB12" s="101"/>
      <c r="AC12" s="101"/>
      <c r="AD12" s="101"/>
      <c r="AE12" s="101" t="s">
        <v>191</v>
      </c>
      <c r="AF12" s="101"/>
      <c r="AG12" s="101"/>
      <c r="AH12" s="101"/>
      <c r="AI12" s="101"/>
      <c r="AJ12" s="101"/>
      <c r="AK12" s="101"/>
      <c r="AL12" s="101"/>
      <c r="AM12" s="101"/>
      <c r="AN12" s="101"/>
    </row>
    <row r="13" spans="1:40" ht="16" x14ac:dyDescent="0.2">
      <c r="A13" s="6" t="str">
        <f>'VSV eGFP 171013 '!A13</f>
        <v>Therefore overall</v>
      </c>
      <c r="C13" s="6" t="s">
        <v>18</v>
      </c>
      <c r="D13" s="6">
        <f>D12*382.14</f>
        <v>32.768505922481417</v>
      </c>
      <c r="E13" s="6">
        <f>E12*382.14</f>
        <v>82.06456617303192</v>
      </c>
      <c r="F13" s="6">
        <f>F12*382.14</f>
        <v>97.235527585074308</v>
      </c>
      <c r="G13" s="6">
        <f>G12*382.14</f>
        <v>95.286609066054226</v>
      </c>
      <c r="H13" s="6">
        <f>H12*382.14</f>
        <v>139.95877391807736</v>
      </c>
      <c r="J13" s="6">
        <f>J11*$W$37</f>
        <v>69.428730827644472</v>
      </c>
      <c r="K13" s="6">
        <f t="shared" ref="K13:M13" si="0">K11*$W$37</f>
        <v>323.39997198224069</v>
      </c>
      <c r="L13" s="6">
        <f t="shared" si="0"/>
        <v>308.88340804457664</v>
      </c>
      <c r="M13" s="6">
        <f t="shared" si="0"/>
        <v>286.53065158009531</v>
      </c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</row>
    <row r="14" spans="1:40" ht="16" x14ac:dyDescent="0.2">
      <c r="A14" s="6">
        <f>'VSV eGFP 171013 '!A14</f>
        <v>0</v>
      </c>
      <c r="C14" s="6" t="s">
        <v>149</v>
      </c>
      <c r="D14" s="19">
        <f>D13*100</f>
        <v>3276.8505922481418</v>
      </c>
      <c r="E14" s="19">
        <f>E13*100</f>
        <v>8206.4566173031926</v>
      </c>
      <c r="F14" s="19">
        <f>F13*100</f>
        <v>9723.5527585074306</v>
      </c>
      <c r="G14" s="19">
        <f>G13*100</f>
        <v>9528.6609066054225</v>
      </c>
      <c r="H14" s="19">
        <f>H13*100</f>
        <v>13995.877391807735</v>
      </c>
      <c r="I14" s="6" t="s">
        <v>150</v>
      </c>
      <c r="J14" s="57">
        <f>J13*5</f>
        <v>347.14365413822236</v>
      </c>
      <c r="K14" s="57">
        <f t="shared" ref="K14:M14" si="1">K13*5</f>
        <v>1616.9998599112034</v>
      </c>
      <c r="L14" s="57">
        <f t="shared" si="1"/>
        <v>1544.4170402228833</v>
      </c>
      <c r="M14" s="57">
        <f t="shared" si="1"/>
        <v>1432.6532579004765</v>
      </c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</row>
    <row r="15" spans="1:40" ht="16" x14ac:dyDescent="0.2">
      <c r="A15" s="6">
        <f>'VSV eGFP 171013 '!A15</f>
        <v>0</v>
      </c>
      <c r="AA15" s="101" t="s">
        <v>192</v>
      </c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</row>
    <row r="16" spans="1:40" ht="16" x14ac:dyDescent="0.2">
      <c r="A16" s="6">
        <f>'VSV eGFP 171013 '!A16</f>
        <v>0</v>
      </c>
      <c r="C16" s="6" t="s">
        <v>19</v>
      </c>
      <c r="D16" s="6">
        <v>8.9100003242492676E-2</v>
      </c>
      <c r="E16" s="6">
        <v>0.27270001173019409</v>
      </c>
      <c r="F16" s="6">
        <v>0.27829998731613159</v>
      </c>
      <c r="G16" s="6">
        <v>0.34860000014305115</v>
      </c>
      <c r="H16" s="6">
        <v>0.47119998931884766</v>
      </c>
      <c r="J16" s="6">
        <v>0.18310000002384186</v>
      </c>
      <c r="K16" s="6">
        <v>0.91670000553131104</v>
      </c>
      <c r="L16" s="6">
        <v>0.88620001077651978</v>
      </c>
      <c r="M16" s="6">
        <v>0.77170002460479736</v>
      </c>
      <c r="AA16" s="101" t="s">
        <v>21</v>
      </c>
      <c r="AB16" s="101"/>
      <c r="AC16" s="101"/>
      <c r="AD16" s="101"/>
      <c r="AE16" s="101" t="s">
        <v>22</v>
      </c>
      <c r="AF16" s="101"/>
      <c r="AG16" s="101"/>
      <c r="AH16" s="101"/>
      <c r="AI16" s="101"/>
      <c r="AJ16" s="101"/>
      <c r="AK16" s="101"/>
      <c r="AL16" s="101"/>
      <c r="AM16" s="101"/>
      <c r="AN16" s="101"/>
    </row>
    <row r="17" spans="1:40" ht="16" x14ac:dyDescent="0.2">
      <c r="A17" s="6">
        <f>'VSV eGFP 171013 '!A17</f>
        <v>0</v>
      </c>
      <c r="C17" s="6" t="s">
        <v>20</v>
      </c>
      <c r="D17" s="6">
        <v>9.4599999487400055E-2</v>
      </c>
      <c r="E17" s="6">
        <v>0.26679998636245728</v>
      </c>
      <c r="F17" s="6">
        <v>0.23829999566078186</v>
      </c>
      <c r="G17" s="6">
        <v>0.34439998865127563</v>
      </c>
      <c r="H17" s="6">
        <v>0.49930000305175781</v>
      </c>
      <c r="J17" s="6">
        <v>0.23549999296665192</v>
      </c>
      <c r="K17" s="6">
        <v>0.69539999961853027</v>
      </c>
      <c r="L17" s="6">
        <v>0.79350000619888306</v>
      </c>
      <c r="M17" s="6">
        <v>0.75220000743865967</v>
      </c>
      <c r="AA17" s="101" t="s">
        <v>23</v>
      </c>
      <c r="AB17" s="101"/>
      <c r="AC17" s="101"/>
      <c r="AD17" s="101"/>
      <c r="AE17" s="101">
        <v>450</v>
      </c>
      <c r="AF17" s="101" t="s">
        <v>24</v>
      </c>
      <c r="AG17" s="101"/>
      <c r="AH17" s="101"/>
      <c r="AI17" s="101"/>
      <c r="AJ17" s="101"/>
      <c r="AK17" s="101"/>
      <c r="AL17" s="101"/>
      <c r="AM17" s="101"/>
      <c r="AN17" s="101"/>
    </row>
    <row r="18" spans="1:40" ht="16" x14ac:dyDescent="0.2">
      <c r="A18" s="6">
        <f>'VSV eGFP 171013 '!A18</f>
        <v>0</v>
      </c>
      <c r="C18" s="6" t="s">
        <v>12</v>
      </c>
      <c r="D18" s="6">
        <f>AVERAGE(D16:D17)</f>
        <v>9.1850001364946365E-2</v>
      </c>
      <c r="E18" s="6">
        <f>AVERAGE(E16:E17)</f>
        <v>0.26974999904632568</v>
      </c>
      <c r="F18" s="6">
        <f>AVERAGE(F16:F17)</f>
        <v>0.25829999148845673</v>
      </c>
      <c r="G18" s="6">
        <f>AVERAGE(G16:G17)</f>
        <v>0.34649999439716339</v>
      </c>
      <c r="H18" s="6">
        <f>AVERAGE(H16:H17)</f>
        <v>0.48524999618530273</v>
      </c>
      <c r="J18" s="6">
        <f>AVERAGE(J16:J17)</f>
        <v>0.20929999649524689</v>
      </c>
      <c r="K18" s="6">
        <f>AVERAGE(K16:K17)</f>
        <v>0.80605000257492065</v>
      </c>
      <c r="L18" s="6">
        <f>AVERAGE(L16:L17)</f>
        <v>0.83985000848770142</v>
      </c>
      <c r="M18" s="6">
        <f>AVERAGE(M16:M17)</f>
        <v>0.76195001602172852</v>
      </c>
      <c r="AA18" s="101" t="s">
        <v>25</v>
      </c>
      <c r="AB18" s="101"/>
      <c r="AC18" s="101"/>
      <c r="AD18" s="101"/>
      <c r="AE18" s="101">
        <v>10</v>
      </c>
      <c r="AF18" s="101" t="s">
        <v>24</v>
      </c>
      <c r="AG18" s="101"/>
      <c r="AH18" s="101"/>
      <c r="AI18" s="101"/>
      <c r="AJ18" s="101"/>
      <c r="AK18" s="101"/>
      <c r="AL18" s="101"/>
      <c r="AM18" s="101"/>
      <c r="AN18" s="101"/>
    </row>
    <row r="19" spans="1:40" ht="16" x14ac:dyDescent="0.2">
      <c r="A19" s="6">
        <f>'VSV eGFP 171013 '!A19</f>
        <v>0</v>
      </c>
      <c r="C19" s="6" t="s">
        <v>16</v>
      </c>
      <c r="D19" s="6">
        <f>D18-$S$32</f>
        <v>1.2900002300739288E-2</v>
      </c>
      <c r="E19" s="6">
        <f>E18-$S$32</f>
        <v>0.19079999998211861</v>
      </c>
      <c r="F19" s="6">
        <f>F18-$S$32</f>
        <v>0.17934999242424965</v>
      </c>
      <c r="G19" s="6">
        <f>G18-$S$32</f>
        <v>0.26754999533295631</v>
      </c>
      <c r="H19" s="6">
        <f>H18-$S$32</f>
        <v>0.40629999712109566</v>
      </c>
      <c r="J19" s="6">
        <f>J18-$S$32</f>
        <v>0.13034999743103981</v>
      </c>
      <c r="K19" s="6">
        <f>K18-$S$32</f>
        <v>0.72710000351071358</v>
      </c>
      <c r="L19" s="6">
        <f>L18-$S$32</f>
        <v>0.76090000942349434</v>
      </c>
      <c r="M19" s="6">
        <f>M18-$S$32</f>
        <v>0.68300001695752144</v>
      </c>
      <c r="AA19" s="101" t="s">
        <v>26</v>
      </c>
      <c r="AB19" s="101"/>
      <c r="AC19" s="101"/>
      <c r="AD19" s="101"/>
      <c r="AE19" s="101">
        <v>570</v>
      </c>
      <c r="AF19" s="101" t="s">
        <v>24</v>
      </c>
      <c r="AG19" s="101"/>
      <c r="AH19" s="101"/>
      <c r="AI19" s="101"/>
      <c r="AJ19" s="101"/>
      <c r="AK19" s="101"/>
      <c r="AL19" s="101"/>
      <c r="AM19" s="101"/>
      <c r="AN19" s="101"/>
    </row>
    <row r="20" spans="1:40" ht="16" x14ac:dyDescent="0.2">
      <c r="A20" s="6">
        <f>'VSV eGFP 171013 '!A20</f>
        <v>0</v>
      </c>
      <c r="C20" s="6" t="s">
        <v>18</v>
      </c>
      <c r="D20" s="6">
        <f>D19*382.14</f>
        <v>4.9296068792045116</v>
      </c>
      <c r="E20" s="6">
        <f>E19*382.14</f>
        <v>72.912311993166796</v>
      </c>
      <c r="F20" s="6">
        <f>F19*382.14</f>
        <v>68.536806105002753</v>
      </c>
      <c r="G20" s="6">
        <f>G19*382.14</f>
        <v>102.24155521653593</v>
      </c>
      <c r="H20" s="6">
        <f>H19*382.14</f>
        <v>155.26348089985549</v>
      </c>
      <c r="J20" s="6">
        <f>J18*$W$37</f>
        <v>82.005831626802689</v>
      </c>
      <c r="K20" s="6">
        <f t="shared" ref="K20:M20" si="2">K18*$W$37</f>
        <v>315.81845150887966</v>
      </c>
      <c r="L20" s="6">
        <f t="shared" si="2"/>
        <v>329.06163182556628</v>
      </c>
      <c r="M20" s="6">
        <f t="shared" si="2"/>
        <v>298.53963577747345</v>
      </c>
      <c r="AA20" s="101" t="s">
        <v>25</v>
      </c>
      <c r="AB20" s="101"/>
      <c r="AC20" s="101"/>
      <c r="AD20" s="101"/>
      <c r="AE20" s="101">
        <v>10</v>
      </c>
      <c r="AF20" s="101" t="s">
        <v>24</v>
      </c>
      <c r="AG20" s="101"/>
      <c r="AH20" s="101"/>
      <c r="AI20" s="101"/>
      <c r="AJ20" s="101"/>
      <c r="AK20" s="101"/>
      <c r="AL20" s="101"/>
      <c r="AM20" s="101"/>
      <c r="AN20" s="101"/>
    </row>
    <row r="21" spans="1:40" ht="16" x14ac:dyDescent="0.2">
      <c r="A21" s="6">
        <f>'VSV eGFP 171013 '!A21</f>
        <v>0</v>
      </c>
      <c r="C21" s="6" t="s">
        <v>149</v>
      </c>
      <c r="D21" s="19">
        <f>D20*100</f>
        <v>492.96068792045116</v>
      </c>
      <c r="E21" s="19">
        <f>E20*100</f>
        <v>7291.2311993166795</v>
      </c>
      <c r="F21" s="19">
        <f>F20*100</f>
        <v>6853.6806105002752</v>
      </c>
      <c r="G21" s="19">
        <f>G20*100</f>
        <v>10224.155521653593</v>
      </c>
      <c r="H21" s="19">
        <f>H20*100</f>
        <v>15526.348089985549</v>
      </c>
      <c r="I21" s="6" t="s">
        <v>150</v>
      </c>
      <c r="J21" s="57">
        <f>J20*5</f>
        <v>410.02915813401341</v>
      </c>
      <c r="K21" s="57">
        <f t="shared" ref="K21" si="3">K20*5</f>
        <v>1579.0922575443983</v>
      </c>
      <c r="L21" s="57">
        <f t="shared" ref="L21" si="4">L20*5</f>
        <v>1645.3081591278315</v>
      </c>
      <c r="M21" s="57">
        <f t="shared" ref="M21" si="5">M20*5</f>
        <v>1492.6981788873672</v>
      </c>
      <c r="AA21" s="101" t="s">
        <v>28</v>
      </c>
      <c r="AB21" s="101"/>
      <c r="AC21" s="101"/>
      <c r="AD21" s="101"/>
      <c r="AE21" s="101">
        <v>25</v>
      </c>
      <c r="AF21" s="101"/>
      <c r="AG21" s="101"/>
      <c r="AH21" s="101"/>
      <c r="AI21" s="101"/>
      <c r="AJ21" s="101"/>
      <c r="AK21" s="101"/>
      <c r="AL21" s="101"/>
      <c r="AM21" s="101"/>
      <c r="AN21" s="101"/>
    </row>
    <row r="22" spans="1:40" ht="16" x14ac:dyDescent="0.2">
      <c r="A22" s="6">
        <f>'VSV eGFP 171013 '!A22</f>
        <v>0</v>
      </c>
      <c r="AA22" s="101" t="s">
        <v>30</v>
      </c>
      <c r="AB22" s="101"/>
      <c r="AC22" s="101"/>
      <c r="AD22" s="101"/>
      <c r="AE22" s="101">
        <v>0</v>
      </c>
      <c r="AF22" s="101" t="s">
        <v>31</v>
      </c>
      <c r="AG22" s="101"/>
      <c r="AH22" s="101"/>
      <c r="AI22" s="101"/>
      <c r="AJ22" s="101"/>
      <c r="AK22" s="101"/>
      <c r="AL22" s="101"/>
      <c r="AM22" s="101"/>
      <c r="AN22" s="101"/>
    </row>
    <row r="23" spans="1:40" ht="16" x14ac:dyDescent="0.2">
      <c r="A23" s="6">
        <f>'VSV eGFP 171013 '!A23</f>
        <v>0</v>
      </c>
      <c r="C23" s="6" t="s">
        <v>27</v>
      </c>
      <c r="D23" s="6">
        <v>9.920000284910202E-2</v>
      </c>
      <c r="E23" s="6">
        <v>0.19879999756813049</v>
      </c>
      <c r="F23" s="6">
        <v>0.26969999074935913</v>
      </c>
      <c r="G23" s="6">
        <v>0.45680001378059387</v>
      </c>
      <c r="H23" s="6">
        <v>0.52560001611709595</v>
      </c>
      <c r="J23" s="6">
        <v>0.40490001440048218</v>
      </c>
      <c r="K23" s="6">
        <v>0.74639999866485596</v>
      </c>
      <c r="L23" s="6">
        <v>0.77569997310638428</v>
      </c>
      <c r="M23" s="6">
        <v>0.70450001955032349</v>
      </c>
      <c r="AA23" s="101" t="s">
        <v>32</v>
      </c>
      <c r="AB23" s="104">
        <v>43026.689918981479</v>
      </c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</row>
    <row r="24" spans="1:40" ht="16" x14ac:dyDescent="0.2">
      <c r="A24" s="6">
        <f>'VSV eGFP 171013 '!A24</f>
        <v>0</v>
      </c>
      <c r="C24" s="6" t="s">
        <v>29</v>
      </c>
      <c r="D24" s="6">
        <v>0.11620000004768372</v>
      </c>
      <c r="E24" s="6">
        <v>0.2994999885559082</v>
      </c>
      <c r="F24" s="6">
        <v>0.36910000443458557</v>
      </c>
      <c r="G24" s="6">
        <v>0.36039999127388</v>
      </c>
      <c r="H24" s="6">
        <v>0.42350000143051147</v>
      </c>
      <c r="J24" s="6">
        <v>0.11069999635219574</v>
      </c>
      <c r="K24" s="6">
        <v>0.86430001258850098</v>
      </c>
      <c r="L24" s="6">
        <v>0.71649998426437378</v>
      </c>
      <c r="M24" s="6">
        <v>0.73240000009536743</v>
      </c>
      <c r="Q24" s="117" t="s">
        <v>33</v>
      </c>
      <c r="R24" s="117"/>
      <c r="S24" s="3" t="s">
        <v>12</v>
      </c>
      <c r="T24" s="3" t="s">
        <v>33</v>
      </c>
      <c r="U24" s="3" t="s">
        <v>18</v>
      </c>
      <c r="W24" s="3" t="s">
        <v>64</v>
      </c>
      <c r="X24" s="3" t="s">
        <v>65</v>
      </c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</row>
    <row r="25" spans="1:40" ht="16" x14ac:dyDescent="0.2">
      <c r="A25" s="6">
        <f>'VSV eGFP 171013 '!A25</f>
        <v>0</v>
      </c>
      <c r="C25" s="6" t="s">
        <v>12</v>
      </c>
      <c r="D25" s="6">
        <f>AVERAGE(D23:D24)</f>
        <v>0.10770000144839287</v>
      </c>
      <c r="E25" s="6">
        <f>AVERAGE(E23:E24)</f>
        <v>0.24914999306201935</v>
      </c>
      <c r="F25" s="6">
        <f>AVERAGE(F23:F24)</f>
        <v>0.31939999759197235</v>
      </c>
      <c r="G25" s="6">
        <f>AVERAGE(G23:G24)</f>
        <v>0.40860000252723694</v>
      </c>
      <c r="H25" s="6">
        <f>AVERAGE(H23:H24)</f>
        <v>0.47455000877380371</v>
      </c>
      <c r="J25" s="6">
        <f>AVERAGE(J23:J24)</f>
        <v>0.25780000537633896</v>
      </c>
      <c r="K25" s="6">
        <f>AVERAGE(K23:K24)</f>
        <v>0.80535000562667847</v>
      </c>
      <c r="L25" s="6">
        <f>AVERAGE(L23:L24)</f>
        <v>0.74609997868537903</v>
      </c>
      <c r="M25" s="6">
        <f>AVERAGE(M23:M24)</f>
        <v>0.71845000982284546</v>
      </c>
      <c r="Q25" s="3">
        <v>2.3166999816894531</v>
      </c>
      <c r="R25" s="3">
        <v>2.6075999736785889</v>
      </c>
      <c r="S25" s="3">
        <f t="shared" ref="S25:S32" si="6">AVERAGE(Q25:R25)</f>
        <v>2.462149977684021</v>
      </c>
      <c r="T25" s="3">
        <f t="shared" ref="T25:T32" si="7">S25-$S$32</f>
        <v>2.3831999786198139</v>
      </c>
      <c r="U25" s="3">
        <v>909.09090909090901</v>
      </c>
      <c r="W25" s="6">
        <f>382.14</f>
        <v>382.14</v>
      </c>
      <c r="X25" s="6">
        <v>0.97989999999999999</v>
      </c>
      <c r="AA25" s="101"/>
      <c r="AB25" s="101" t="s">
        <v>286</v>
      </c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</row>
    <row r="26" spans="1:40" ht="16" x14ac:dyDescent="0.2">
      <c r="A26" s="6">
        <f>'VSV eGFP 171013 '!A26</f>
        <v>0</v>
      </c>
      <c r="C26" s="6" t="s">
        <v>16</v>
      </c>
      <c r="D26" s="6">
        <f>D25-$S$44</f>
        <v>4.9200002104043961E-2</v>
      </c>
      <c r="E26" s="6">
        <f t="shared" ref="E26:M26" si="8">E25-$S$44</f>
        <v>0.19064999371767044</v>
      </c>
      <c r="F26" s="6">
        <f t="shared" si="8"/>
        <v>0.26089999824762344</v>
      </c>
      <c r="G26" s="6">
        <f t="shared" si="8"/>
        <v>0.35010000318288803</v>
      </c>
      <c r="H26" s="6">
        <f t="shared" si="8"/>
        <v>0.4160500094294548</v>
      </c>
      <c r="J26" s="6">
        <f t="shared" si="8"/>
        <v>0.19930000603199005</v>
      </c>
      <c r="K26" s="6">
        <f t="shared" si="8"/>
        <v>0.74685000628232956</v>
      </c>
      <c r="L26" s="6">
        <f t="shared" si="8"/>
        <v>0.68759997934103012</v>
      </c>
      <c r="M26" s="6">
        <f t="shared" si="8"/>
        <v>0.65995001047849655</v>
      </c>
      <c r="Q26" s="3">
        <v>1.093500018119812</v>
      </c>
      <c r="R26" s="3">
        <v>1.1916999816894531</v>
      </c>
      <c r="S26" s="3">
        <f t="shared" si="6"/>
        <v>1.1425999999046326</v>
      </c>
      <c r="T26" s="3">
        <f t="shared" si="7"/>
        <v>1.0636500008404255</v>
      </c>
      <c r="U26" s="3">
        <v>454.5454545454545</v>
      </c>
      <c r="AA26" s="101" t="s">
        <v>35</v>
      </c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</row>
    <row r="27" spans="1:40" ht="16" x14ac:dyDescent="0.2">
      <c r="A27" s="6">
        <f>'VSV eGFP 171013 '!A27</f>
        <v>0</v>
      </c>
      <c r="C27" s="6" t="s">
        <v>18</v>
      </c>
      <c r="D27" s="6">
        <f>D26*391.8</f>
        <v>19.276560824364424</v>
      </c>
      <c r="E27" s="6">
        <f t="shared" ref="E27:H27" si="9">E26*391.8</f>
        <v>74.696667538583284</v>
      </c>
      <c r="F27" s="6">
        <f t="shared" si="9"/>
        <v>102.22061931341887</v>
      </c>
      <c r="G27" s="6">
        <f t="shared" si="9"/>
        <v>137.16918124705555</v>
      </c>
      <c r="H27" s="6">
        <f t="shared" si="9"/>
        <v>163.00839369446041</v>
      </c>
      <c r="J27" s="6">
        <f>J25*$W$37</f>
        <v>101.00862010650337</v>
      </c>
      <c r="K27" s="6">
        <f t="shared" ref="K27:M27" si="10">K25*$W$37</f>
        <v>315.54418570458887</v>
      </c>
      <c r="L27" s="6">
        <f t="shared" si="10"/>
        <v>292.32943264871835</v>
      </c>
      <c r="M27" s="6">
        <f t="shared" si="10"/>
        <v>281.49589834868908</v>
      </c>
      <c r="Q27" s="3">
        <v>0.63700002431869507</v>
      </c>
      <c r="R27" s="3">
        <v>0.66089999675750732</v>
      </c>
      <c r="S27" s="3">
        <f t="shared" si="6"/>
        <v>0.6489500105381012</v>
      </c>
      <c r="T27" s="3">
        <f t="shared" si="7"/>
        <v>0.57000001147389412</v>
      </c>
      <c r="U27" s="3">
        <v>227.27272727272725</v>
      </c>
      <c r="AA27" s="101" t="s">
        <v>37</v>
      </c>
      <c r="AB27" s="101">
        <v>1</v>
      </c>
      <c r="AC27" s="101">
        <v>2</v>
      </c>
      <c r="AD27" s="101">
        <v>3</v>
      </c>
      <c r="AE27" s="101">
        <v>4</v>
      </c>
      <c r="AF27" s="101">
        <v>5</v>
      </c>
      <c r="AG27" s="101">
        <v>6</v>
      </c>
      <c r="AH27" s="101">
        <v>7</v>
      </c>
      <c r="AI27" s="101">
        <v>8</v>
      </c>
      <c r="AJ27" s="101">
        <v>9</v>
      </c>
      <c r="AK27" s="101">
        <v>10</v>
      </c>
      <c r="AL27" s="101">
        <v>11</v>
      </c>
      <c r="AM27" s="101">
        <v>12</v>
      </c>
      <c r="AN27" s="101"/>
    </row>
    <row r="28" spans="1:40" ht="16" x14ac:dyDescent="0.2">
      <c r="A28" s="6">
        <f>'VSV eGFP 171013 '!A28</f>
        <v>0</v>
      </c>
      <c r="C28" s="6" t="s">
        <v>149</v>
      </c>
      <c r="D28" s="19">
        <f>D27*100</f>
        <v>1927.6560824364424</v>
      </c>
      <c r="E28" s="19">
        <f>E27*100</f>
        <v>7469.6667538583288</v>
      </c>
      <c r="F28" s="19">
        <f>F27*100</f>
        <v>10222.061931341887</v>
      </c>
      <c r="G28" s="19">
        <f>G27*100</f>
        <v>13716.918124705555</v>
      </c>
      <c r="H28" s="19">
        <f>H27*100</f>
        <v>16300.839369446041</v>
      </c>
      <c r="I28" s="6" t="s">
        <v>150</v>
      </c>
      <c r="J28" s="57">
        <f>J27*5</f>
        <v>505.04310053251686</v>
      </c>
      <c r="K28" s="57">
        <f t="shared" ref="K28:M28" si="11">K27*5</f>
        <v>1577.7209285229444</v>
      </c>
      <c r="L28" s="57">
        <f t="shared" si="11"/>
        <v>1461.6471632435919</v>
      </c>
      <c r="M28" s="57">
        <f t="shared" si="11"/>
        <v>1407.4794917434454</v>
      </c>
      <c r="Q28" s="3">
        <v>0.53100001811981201</v>
      </c>
      <c r="R28" s="3">
        <v>0.42879998683929443</v>
      </c>
      <c r="S28" s="3">
        <f t="shared" si="6"/>
        <v>0.47990000247955322</v>
      </c>
      <c r="T28" s="3">
        <f t="shared" si="7"/>
        <v>0.40095000341534615</v>
      </c>
      <c r="U28" s="3">
        <v>113.63636363636363</v>
      </c>
      <c r="AA28" s="101" t="s">
        <v>39</v>
      </c>
      <c r="AB28" s="101">
        <v>0.21160000000000001</v>
      </c>
      <c r="AC28" s="101">
        <v>0.26900000000000002</v>
      </c>
      <c r="AD28" s="101">
        <v>0.3362</v>
      </c>
      <c r="AE28" s="101">
        <v>0.37380000000000002</v>
      </c>
      <c r="AF28" s="101">
        <v>0.50439999999999996</v>
      </c>
      <c r="AG28" s="101">
        <v>0.17050000000000001</v>
      </c>
      <c r="AH28" s="101">
        <v>0.75260000000000005</v>
      </c>
      <c r="AI28" s="101">
        <v>0.68320000000000003</v>
      </c>
      <c r="AJ28" s="101">
        <v>0.62490000000000001</v>
      </c>
      <c r="AK28" s="101">
        <v>2.3653</v>
      </c>
      <c r="AL28" s="101">
        <v>2.6555</v>
      </c>
      <c r="AM28" s="101">
        <v>2.7216999999999998</v>
      </c>
      <c r="AN28" s="101"/>
    </row>
    <row r="29" spans="1:40" ht="16" x14ac:dyDescent="0.2">
      <c r="A29" s="6">
        <f>'VSV eGFP 171013 '!A29</f>
        <v>0</v>
      </c>
      <c r="Q29" s="3">
        <v>0.31200000643730164</v>
      </c>
      <c r="R29" s="3">
        <v>0.25260001420974731</v>
      </c>
      <c r="S29" s="3">
        <f t="shared" si="6"/>
        <v>0.28230001032352448</v>
      </c>
      <c r="T29" s="3">
        <f t="shared" si="7"/>
        <v>0.2033500112593174</v>
      </c>
      <c r="U29" s="3">
        <v>56.818181818181813</v>
      </c>
      <c r="AA29" s="101" t="s">
        <v>40</v>
      </c>
      <c r="AB29" s="101">
        <v>0.19570000000000001</v>
      </c>
      <c r="AC29" s="101">
        <v>0.39660000000000001</v>
      </c>
      <c r="AD29" s="101">
        <v>0.40970000000000001</v>
      </c>
      <c r="AE29" s="101">
        <v>0.36349999999999999</v>
      </c>
      <c r="AF29" s="101">
        <v>0.4652</v>
      </c>
      <c r="AG29" s="101">
        <v>0.2626</v>
      </c>
      <c r="AH29" s="101">
        <v>0.98450000000000004</v>
      </c>
      <c r="AI29" s="101">
        <v>0.98729999999999996</v>
      </c>
      <c r="AJ29" s="101">
        <v>0.91930000000000001</v>
      </c>
      <c r="AK29" s="101">
        <v>1.1357999999999999</v>
      </c>
      <c r="AL29" s="101">
        <v>1.2336</v>
      </c>
      <c r="AM29" s="101">
        <v>1.2911999999999999</v>
      </c>
      <c r="AN29" s="101"/>
    </row>
    <row r="30" spans="1:40" ht="16" x14ac:dyDescent="0.2">
      <c r="A30" s="6">
        <f>'VSV eGFP 171013 '!A30</f>
        <v>0</v>
      </c>
      <c r="C30" s="6" t="s">
        <v>36</v>
      </c>
      <c r="D30" s="6">
        <v>9.8899997770786285E-2</v>
      </c>
      <c r="E30" s="6">
        <v>0.23870000243186951</v>
      </c>
      <c r="F30" s="6">
        <v>0.28360000252723694</v>
      </c>
      <c r="G30" s="6">
        <v>0.31709998846054077</v>
      </c>
      <c r="H30" s="6">
        <v>0.42750000953674316</v>
      </c>
      <c r="J30" s="6">
        <v>8.2299999892711639E-2</v>
      </c>
      <c r="K30" s="6">
        <v>0.67259997129440308</v>
      </c>
      <c r="L30" s="6">
        <v>0.70279997587203979</v>
      </c>
      <c r="M30" s="6">
        <v>0.80400002002716064</v>
      </c>
      <c r="Q30" s="3">
        <v>0.29170000553131104</v>
      </c>
      <c r="R30" s="3">
        <v>0.36390000581741333</v>
      </c>
      <c r="S30" s="3">
        <f t="shared" si="6"/>
        <v>0.32780000567436218</v>
      </c>
      <c r="T30" s="3">
        <f t="shared" si="7"/>
        <v>0.24885000661015511</v>
      </c>
      <c r="U30" s="3">
        <v>28.409090909090907</v>
      </c>
      <c r="AA30" s="101" t="s">
        <v>41</v>
      </c>
      <c r="AB30" s="101">
        <v>0.13569999999999999</v>
      </c>
      <c r="AC30" s="101">
        <v>0.31190000000000001</v>
      </c>
      <c r="AD30" s="101">
        <v>0.31780000000000003</v>
      </c>
      <c r="AE30" s="101">
        <v>0.3891</v>
      </c>
      <c r="AF30" s="101">
        <v>0.51070000000000004</v>
      </c>
      <c r="AG30" s="101">
        <v>0.2218</v>
      </c>
      <c r="AH30" s="101">
        <v>0.96230000000000004</v>
      </c>
      <c r="AI30" s="101">
        <v>0.9274</v>
      </c>
      <c r="AJ30" s="101">
        <v>0.81210000000000004</v>
      </c>
      <c r="AK30" s="101">
        <v>0.6774</v>
      </c>
      <c r="AL30" s="101">
        <v>0.70269999999999999</v>
      </c>
      <c r="AM30" s="101">
        <v>0.65059999999999996</v>
      </c>
      <c r="AN30" s="101"/>
    </row>
    <row r="31" spans="1:40" ht="16" x14ac:dyDescent="0.2">
      <c r="A31" s="6">
        <f>'VSV eGFP 171013 '!A31</f>
        <v>0</v>
      </c>
      <c r="C31" s="6" t="s">
        <v>38</v>
      </c>
      <c r="D31" s="6">
        <v>7.4500001966953278E-2</v>
      </c>
      <c r="E31" s="6">
        <v>0.18379999697208405</v>
      </c>
      <c r="F31" s="6">
        <v>0.23440000414848328</v>
      </c>
      <c r="G31" s="6">
        <v>0.30059999227523804</v>
      </c>
      <c r="H31" s="6">
        <v>0.39120000600814819</v>
      </c>
      <c r="J31" s="6">
        <v>7.1299999952316284E-2</v>
      </c>
      <c r="K31" s="6">
        <v>0.65689998865127563</v>
      </c>
      <c r="L31" s="6">
        <v>0.63270002603530884</v>
      </c>
      <c r="M31" s="6">
        <v>0.57899999618530273</v>
      </c>
      <c r="Q31" s="3">
        <v>0.34299999475479126</v>
      </c>
      <c r="R31" s="3">
        <v>0.26240000128746033</v>
      </c>
      <c r="S31" s="3">
        <f t="shared" si="6"/>
        <v>0.30269999802112579</v>
      </c>
      <c r="T31" s="3">
        <f t="shared" si="7"/>
        <v>0.22374999895691872</v>
      </c>
      <c r="U31" s="3">
        <v>14.204545454545453</v>
      </c>
      <c r="AA31" s="101" t="s">
        <v>42</v>
      </c>
      <c r="AB31" s="101">
        <v>0.1338</v>
      </c>
      <c r="AC31" s="101">
        <v>0.308</v>
      </c>
      <c r="AD31" s="101">
        <v>0.2777</v>
      </c>
      <c r="AE31" s="101">
        <v>0.3846</v>
      </c>
      <c r="AF31" s="101">
        <v>0.53990000000000005</v>
      </c>
      <c r="AG31" s="101">
        <v>0.27410000000000001</v>
      </c>
      <c r="AH31" s="101">
        <v>0.73529999999999995</v>
      </c>
      <c r="AI31" s="101">
        <v>0.83499999999999996</v>
      </c>
      <c r="AJ31" s="101">
        <v>0.79259999999999997</v>
      </c>
      <c r="AK31" s="101">
        <v>0.57179999999999997</v>
      </c>
      <c r="AL31" s="101">
        <v>0.47110000000000002</v>
      </c>
      <c r="AM31" s="101">
        <v>0.35959999999999998</v>
      </c>
      <c r="AN31" s="101"/>
    </row>
    <row r="32" spans="1:40" ht="16" x14ac:dyDescent="0.2">
      <c r="A32" s="6">
        <f>'VSV eGFP 171013 '!A32</f>
        <v>0</v>
      </c>
      <c r="C32" s="6" t="s">
        <v>12</v>
      </c>
      <c r="D32" s="6">
        <f>AVERAGE(D30:D31)</f>
        <v>8.6699999868869781E-2</v>
      </c>
      <c r="E32" s="6">
        <f>AVERAGE(E30:E31)</f>
        <v>0.21124999970197678</v>
      </c>
      <c r="F32" s="6">
        <f>AVERAGE(F30:F31)</f>
        <v>0.25900000333786011</v>
      </c>
      <c r="G32" s="6">
        <f>AVERAGE(G30:G31)</f>
        <v>0.3088499903678894</v>
      </c>
      <c r="H32" s="6">
        <f>AVERAGE(H30:H31)</f>
        <v>0.40935000777244568</v>
      </c>
      <c r="J32" s="6">
        <f>AVERAGE(J30:J31)</f>
        <v>7.6799999922513962E-2</v>
      </c>
      <c r="K32" s="6">
        <f>AVERAGE(K30:K31)</f>
        <v>0.66474997997283936</v>
      </c>
      <c r="L32" s="6">
        <f>AVERAGE(L30:L31)</f>
        <v>0.66775000095367432</v>
      </c>
      <c r="M32" s="6">
        <f>AVERAGE(M30:M31)</f>
        <v>0.69150000810623169</v>
      </c>
      <c r="Q32" s="3">
        <v>8.2699999213218689E-2</v>
      </c>
      <c r="R32" s="3">
        <v>7.5199998915195465E-2</v>
      </c>
      <c r="S32" s="3">
        <f t="shared" si="6"/>
        <v>7.8949999064207077E-2</v>
      </c>
      <c r="T32" s="3">
        <f t="shared" si="7"/>
        <v>0</v>
      </c>
      <c r="U32" s="3">
        <v>0</v>
      </c>
      <c r="AA32" s="101" t="s">
        <v>43</v>
      </c>
      <c r="AB32" s="101">
        <v>0.13830000000000001</v>
      </c>
      <c r="AC32" s="101">
        <v>0.24879999999999999</v>
      </c>
      <c r="AD32" s="101">
        <v>0.31090000000000001</v>
      </c>
      <c r="AE32" s="101">
        <v>0.496</v>
      </c>
      <c r="AF32" s="101">
        <v>0.56610000000000005</v>
      </c>
      <c r="AG32" s="101">
        <v>0.44900000000000001</v>
      </c>
      <c r="AH32" s="101">
        <v>0.78639999999999999</v>
      </c>
      <c r="AI32" s="101">
        <v>0.81589999999999996</v>
      </c>
      <c r="AJ32" s="101">
        <v>0.74450000000000005</v>
      </c>
      <c r="AK32" s="101">
        <v>0.3508</v>
      </c>
      <c r="AL32" s="101">
        <v>0.28920000000000001</v>
      </c>
      <c r="AM32" s="101">
        <v>0.23219999999999999</v>
      </c>
      <c r="AN32" s="101"/>
    </row>
    <row r="33" spans="1:40" ht="16" x14ac:dyDescent="0.2">
      <c r="A33" s="6">
        <f>'VSV eGFP 171013 '!A33</f>
        <v>0</v>
      </c>
      <c r="C33" s="6" t="s">
        <v>16</v>
      </c>
      <c r="D33" s="6">
        <f>D32-$S$44</f>
        <v>2.8200000524520874E-2</v>
      </c>
      <c r="E33" s="6">
        <f t="shared" ref="E33:M33" si="12">E32-$S$44</f>
        <v>0.15275000035762787</v>
      </c>
      <c r="F33" s="6">
        <f t="shared" si="12"/>
        <v>0.2005000039935112</v>
      </c>
      <c r="G33" s="6">
        <f t="shared" si="12"/>
        <v>0.2503499910235405</v>
      </c>
      <c r="H33" s="6">
        <f t="shared" si="12"/>
        <v>0.35085000842809677</v>
      </c>
      <c r="J33" s="6">
        <f t="shared" si="12"/>
        <v>1.8300000578165054E-2</v>
      </c>
      <c r="K33" s="6">
        <f t="shared" si="12"/>
        <v>0.60624998062849045</v>
      </c>
      <c r="L33" s="6">
        <f t="shared" si="12"/>
        <v>0.60925000160932541</v>
      </c>
      <c r="M33" s="6">
        <f t="shared" si="12"/>
        <v>0.63300000876188278</v>
      </c>
      <c r="AA33" s="101" t="s">
        <v>44</v>
      </c>
      <c r="AB33" s="101">
        <v>0.15670000000000001</v>
      </c>
      <c r="AC33" s="101">
        <v>0.33889999999999998</v>
      </c>
      <c r="AD33" s="101">
        <v>0.42170000000000002</v>
      </c>
      <c r="AE33" s="101">
        <v>0.39929999999999999</v>
      </c>
      <c r="AF33" s="101">
        <v>0.4652</v>
      </c>
      <c r="AG33" s="101">
        <v>0.14849999999999999</v>
      </c>
      <c r="AH33" s="101">
        <v>0.90449999999999997</v>
      </c>
      <c r="AI33" s="101">
        <v>0.75949999999999995</v>
      </c>
      <c r="AJ33" s="101">
        <v>0.77300000000000002</v>
      </c>
      <c r="AK33" s="101">
        <v>0.33050000000000002</v>
      </c>
      <c r="AL33" s="101">
        <v>0.4098</v>
      </c>
      <c r="AM33" s="101">
        <v>0.17369999999999999</v>
      </c>
      <c r="AN33" s="101"/>
    </row>
    <row r="34" spans="1:40" ht="16" x14ac:dyDescent="0.2">
      <c r="A34" s="6">
        <f>'VSV eGFP 171013 '!A34</f>
        <v>0</v>
      </c>
      <c r="C34" s="6" t="s">
        <v>18</v>
      </c>
      <c r="D34" s="6">
        <f>D33*391.8</f>
        <v>11.048760205507278</v>
      </c>
      <c r="E34" s="6">
        <f>E33*382.14</f>
        <v>58.371885136663913</v>
      </c>
      <c r="F34" s="6">
        <f>F33*382.14</f>
        <v>76.619071526080361</v>
      </c>
      <c r="G34" s="6">
        <f>G33*382.14</f>
        <v>95.668745569735762</v>
      </c>
      <c r="H34" s="6">
        <f>H33*382.14</f>
        <v>134.07382222071288</v>
      </c>
      <c r="J34" s="6">
        <f>J32*$W$37</f>
        <v>30.091007969640195</v>
      </c>
      <c r="K34" s="6">
        <f t="shared" ref="K34:M34" si="13">K32*$W$37</f>
        <v>260.45568965315817</v>
      </c>
      <c r="L34" s="6">
        <f t="shared" si="13"/>
        <v>261.63112787365912</v>
      </c>
      <c r="M34" s="6">
        <f t="shared" si="13"/>
        <v>270.93661817610263</v>
      </c>
      <c r="AA34" s="101" t="s">
        <v>45</v>
      </c>
      <c r="AB34" s="101">
        <v>0.1371</v>
      </c>
      <c r="AC34" s="101">
        <v>0.27779999999999999</v>
      </c>
      <c r="AD34" s="101">
        <v>0.32529999999999998</v>
      </c>
      <c r="AE34" s="101">
        <v>0.35610000000000003</v>
      </c>
      <c r="AF34" s="101">
        <v>0.46970000000000001</v>
      </c>
      <c r="AG34" s="101">
        <v>0.12039999999999999</v>
      </c>
      <c r="AH34" s="101">
        <v>0.71440000000000003</v>
      </c>
      <c r="AI34" s="101">
        <v>0.74350000000000005</v>
      </c>
      <c r="AJ34" s="101">
        <v>0.84819999999999995</v>
      </c>
      <c r="AK34" s="101">
        <v>0.38190000000000002</v>
      </c>
      <c r="AL34" s="101">
        <v>0.30130000000000001</v>
      </c>
      <c r="AM34" s="101">
        <v>0.15359999999999999</v>
      </c>
      <c r="AN34" s="101"/>
    </row>
    <row r="35" spans="1:40" ht="16" x14ac:dyDescent="0.2">
      <c r="A35" s="6">
        <f>'VSV eGFP 171013 '!A35</f>
        <v>0</v>
      </c>
      <c r="C35" s="6" t="s">
        <v>149</v>
      </c>
      <c r="D35" s="19">
        <f>D34*100</f>
        <v>1104.8760205507278</v>
      </c>
      <c r="E35" s="19">
        <f>E34*100</f>
        <v>5837.1885136663914</v>
      </c>
      <c r="F35" s="19">
        <f>F34*100</f>
        <v>7661.9071526080361</v>
      </c>
      <c r="G35" s="19">
        <f>G34*100</f>
        <v>9566.8745569735765</v>
      </c>
      <c r="H35" s="19">
        <f>H34*100</f>
        <v>13407.382222071288</v>
      </c>
      <c r="I35" s="6" t="s">
        <v>150</v>
      </c>
      <c r="J35" s="57">
        <f>J34*5</f>
        <v>150.45503984820098</v>
      </c>
      <c r="K35" s="57">
        <f t="shared" ref="K35:M35" si="14">K34*5</f>
        <v>1302.2784482657908</v>
      </c>
      <c r="L35" s="57">
        <f t="shared" si="14"/>
        <v>1308.1556393682956</v>
      </c>
      <c r="M35" s="57">
        <f t="shared" si="14"/>
        <v>1354.6830908805132</v>
      </c>
      <c r="AA35" s="101" t="s">
        <v>46</v>
      </c>
      <c r="AB35" s="101">
        <v>0.1129</v>
      </c>
      <c r="AC35" s="101">
        <v>0.22270000000000001</v>
      </c>
      <c r="AD35" s="101">
        <v>0.27379999999999999</v>
      </c>
      <c r="AE35" s="101">
        <v>0.3397</v>
      </c>
      <c r="AF35" s="101">
        <v>0.43049999999999999</v>
      </c>
      <c r="AG35" s="101">
        <v>0.1109</v>
      </c>
      <c r="AH35" s="101">
        <v>0.69830000000000003</v>
      </c>
      <c r="AI35" s="101">
        <v>0.67259999999999998</v>
      </c>
      <c r="AJ35" s="101">
        <v>0.62129999999999996</v>
      </c>
      <c r="AK35" s="101">
        <v>0.12230000000000001</v>
      </c>
      <c r="AL35" s="101">
        <v>0.1142</v>
      </c>
      <c r="AM35" s="101">
        <v>9.7000000000000003E-2</v>
      </c>
      <c r="AN35" s="101"/>
    </row>
    <row r="36" spans="1:40" ht="16" x14ac:dyDescent="0.2">
      <c r="A36" s="6">
        <f>'VSV eGFP 171013 '!A36</f>
        <v>0</v>
      </c>
      <c r="S36" s="3" t="s">
        <v>12</v>
      </c>
      <c r="T36" s="3" t="s">
        <v>33</v>
      </c>
      <c r="U36" s="3" t="s">
        <v>18</v>
      </c>
      <c r="W36" s="3" t="s">
        <v>64</v>
      </c>
      <c r="X36" s="3" t="s">
        <v>65</v>
      </c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</row>
    <row r="37" spans="1:40" ht="16" x14ac:dyDescent="0.2">
      <c r="A37" s="6" t="str">
        <f>'VSV eGFP 171013 '!A37</f>
        <v>SUMMARY</v>
      </c>
      <c r="C37" s="3"/>
      <c r="D37" s="3" t="str">
        <f>D5</f>
        <v>INFg+Pam</v>
      </c>
      <c r="E37" s="3" t="str">
        <f t="shared" ref="E37:H37" si="15">E5</f>
        <v>INFg+Pam</v>
      </c>
      <c r="F37" s="3" t="str">
        <f t="shared" si="15"/>
        <v>INFg+Pam</v>
      </c>
      <c r="G37" s="3" t="str">
        <f t="shared" si="15"/>
        <v>INFg+Pam</v>
      </c>
      <c r="H37" s="3" t="str">
        <f t="shared" si="15"/>
        <v>INFg+Pam</v>
      </c>
      <c r="J37" s="3" t="str">
        <f t="shared" ref="J37:M38" si="16">J5</f>
        <v>nil</v>
      </c>
      <c r="K37" s="3" t="str">
        <f t="shared" si="16"/>
        <v>INFg+Pam</v>
      </c>
      <c r="L37" s="3" t="str">
        <f t="shared" si="16"/>
        <v>INFg+Pam</v>
      </c>
      <c r="M37" s="3" t="str">
        <f t="shared" si="16"/>
        <v>INFg+Pam</v>
      </c>
      <c r="S37" s="6">
        <v>2.6747000217437744</v>
      </c>
      <c r="T37" s="6">
        <f t="shared" ref="T37:T44" si="17">S37-$S$44</f>
        <v>2.6162000223994255</v>
      </c>
      <c r="U37" s="6">
        <v>1000</v>
      </c>
      <c r="W37" s="6">
        <v>391.81</v>
      </c>
      <c r="X37" s="6">
        <v>0.99580000000000002</v>
      </c>
      <c r="AA37" s="101" t="s">
        <v>47</v>
      </c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</row>
    <row r="38" spans="1:40" ht="16" x14ac:dyDescent="0.2">
      <c r="A38" s="6">
        <f>'VSV eGFP 171013 '!A38</f>
        <v>0</v>
      </c>
      <c r="C38" s="3"/>
      <c r="D38" s="3">
        <f>D6</f>
        <v>0</v>
      </c>
      <c r="E38" s="3">
        <f t="shared" ref="E38:H38" si="18">E6</f>
        <v>6.25E-2</v>
      </c>
      <c r="F38" s="3">
        <f t="shared" si="18"/>
        <v>0.125</v>
      </c>
      <c r="G38" s="3">
        <f t="shared" si="18"/>
        <v>0.25</v>
      </c>
      <c r="H38" s="3">
        <f t="shared" si="18"/>
        <v>0.5</v>
      </c>
      <c r="J38" s="3">
        <f t="shared" si="16"/>
        <v>0</v>
      </c>
      <c r="K38" s="3">
        <f t="shared" si="16"/>
        <v>0</v>
      </c>
      <c r="L38" s="3" t="str">
        <f t="shared" si="16"/>
        <v>ssRNA</v>
      </c>
      <c r="M38" s="3" t="str">
        <f t="shared" si="16"/>
        <v>gp120</v>
      </c>
      <c r="O38" s="6" t="s">
        <v>74</v>
      </c>
      <c r="P38" s="6" t="str">
        <f>M38</f>
        <v>gp120</v>
      </c>
      <c r="Q38" s="6" t="str">
        <f>L38</f>
        <v>ssRNA</v>
      </c>
      <c r="S38" s="6">
        <v>1.2489999532699585</v>
      </c>
      <c r="T38" s="6">
        <f t="shared" si="17"/>
        <v>1.1904999539256096</v>
      </c>
      <c r="U38" s="6">
        <v>500</v>
      </c>
      <c r="AA38" s="101" t="s">
        <v>37</v>
      </c>
      <c r="AB38" s="101">
        <v>1</v>
      </c>
      <c r="AC38" s="101">
        <v>2</v>
      </c>
      <c r="AD38" s="101">
        <v>3</v>
      </c>
      <c r="AE38" s="101">
        <v>4</v>
      </c>
      <c r="AF38" s="101">
        <v>5</v>
      </c>
      <c r="AG38" s="101">
        <v>6</v>
      </c>
      <c r="AH38" s="101">
        <v>7</v>
      </c>
      <c r="AI38" s="101">
        <v>8</v>
      </c>
      <c r="AJ38" s="101">
        <v>9</v>
      </c>
      <c r="AK38" s="101">
        <v>10</v>
      </c>
      <c r="AL38" s="101">
        <v>11</v>
      </c>
      <c r="AM38" s="101">
        <v>12</v>
      </c>
      <c r="AN38" s="101"/>
    </row>
    <row r="39" spans="1:40" ht="16" x14ac:dyDescent="0.2">
      <c r="A39" s="6" t="str">
        <f>'VSV eGFP 171013 '!A39</f>
        <v>rearranged and -*1.1 for NP40 (removal from PC3 prior to ELISA)</v>
      </c>
      <c r="B39" s="5"/>
      <c r="C39" s="6" t="s">
        <v>84</v>
      </c>
      <c r="D39" s="19">
        <f>D14*1.1</f>
        <v>3604.535651472956</v>
      </c>
      <c r="E39" s="19">
        <f t="shared" ref="E39:H39" si="19">E14*1.1</f>
        <v>9027.1022790335119</v>
      </c>
      <c r="F39" s="19">
        <f t="shared" si="19"/>
        <v>10695.908034358174</v>
      </c>
      <c r="G39" s="19">
        <f t="shared" si="19"/>
        <v>10481.526997265966</v>
      </c>
      <c r="H39" s="19">
        <f t="shared" si="19"/>
        <v>15395.46513098851</v>
      </c>
      <c r="J39" s="19">
        <f>J14*1.1</f>
        <v>381.85801955204465</v>
      </c>
      <c r="K39" s="19">
        <f t="shared" ref="K39:M39" si="20">K14*1.1</f>
        <v>1778.6998459023239</v>
      </c>
      <c r="L39" s="19">
        <f t="shared" si="20"/>
        <v>1698.8587442451717</v>
      </c>
      <c r="M39" s="19">
        <f t="shared" si="20"/>
        <v>1575.9185836905244</v>
      </c>
      <c r="N39" s="6">
        <f>N14</f>
        <v>0</v>
      </c>
      <c r="O39" s="19">
        <f>J39-$J39</f>
        <v>0</v>
      </c>
      <c r="P39" s="19">
        <f>L39-$J39</f>
        <v>1317.000724693127</v>
      </c>
      <c r="Q39" s="19">
        <f>K39-$J39</f>
        <v>1396.8418263502792</v>
      </c>
      <c r="S39" s="6">
        <v>0.61019998788833618</v>
      </c>
      <c r="T39" s="6">
        <f t="shared" si="17"/>
        <v>0.55169998854398727</v>
      </c>
      <c r="U39" s="6">
        <v>250</v>
      </c>
      <c r="AA39" s="101" t="s">
        <v>39</v>
      </c>
      <c r="AB39" s="101">
        <v>3.8800000000000001E-2</v>
      </c>
      <c r="AC39" s="101">
        <v>3.8699999999999998E-2</v>
      </c>
      <c r="AD39" s="101">
        <v>3.9899999999999998E-2</v>
      </c>
      <c r="AE39" s="101">
        <v>3.9199999999999999E-2</v>
      </c>
      <c r="AF39" s="101">
        <v>3.9399999999999998E-2</v>
      </c>
      <c r="AG39" s="101">
        <v>3.9600000000000003E-2</v>
      </c>
      <c r="AH39" s="101">
        <v>4.1000000000000002E-2</v>
      </c>
      <c r="AI39" s="101">
        <v>0.05</v>
      </c>
      <c r="AJ39" s="101">
        <v>4.0599999999999997E-2</v>
      </c>
      <c r="AK39" s="101">
        <v>4.8500000000000001E-2</v>
      </c>
      <c r="AL39" s="101">
        <v>4.7899999999999998E-2</v>
      </c>
      <c r="AM39" s="101">
        <v>4.7E-2</v>
      </c>
      <c r="AN39" s="101"/>
    </row>
    <row r="40" spans="1:40" ht="16" x14ac:dyDescent="0.2">
      <c r="A40" s="6">
        <f>'VSV eGFP 171013 '!A40</f>
        <v>0</v>
      </c>
      <c r="C40" s="6" t="s">
        <v>85</v>
      </c>
      <c r="D40" s="19">
        <f>D$21*1.1</f>
        <v>542.25675671249633</v>
      </c>
      <c r="E40" s="19">
        <f t="shared" ref="E40:H40" si="21">E$21*1.1</f>
        <v>8020.3543192483485</v>
      </c>
      <c r="F40" s="19">
        <f t="shared" si="21"/>
        <v>7539.048671550303</v>
      </c>
      <c r="G40" s="19">
        <f t="shared" si="21"/>
        <v>11246.571073818952</v>
      </c>
      <c r="H40" s="19">
        <f t="shared" si="21"/>
        <v>17078.982898984104</v>
      </c>
      <c r="J40" s="19">
        <f>J21*1.1</f>
        <v>451.0320739474148</v>
      </c>
      <c r="K40" s="19">
        <f t="shared" ref="K40:M40" si="22">K21*1.1</f>
        <v>1737.0014832988384</v>
      </c>
      <c r="L40" s="19">
        <f t="shared" si="22"/>
        <v>1809.8389750406147</v>
      </c>
      <c r="M40" s="19">
        <f t="shared" si="22"/>
        <v>1641.9679967761042</v>
      </c>
      <c r="O40" s="19">
        <f>J40-$J40</f>
        <v>0</v>
      </c>
      <c r="P40" s="19">
        <f>L40-$J40</f>
        <v>1358.8069010931999</v>
      </c>
      <c r="Q40" s="19">
        <f>K40-$J40</f>
        <v>1285.9694093514236</v>
      </c>
      <c r="S40" s="6">
        <v>0.31970000267028809</v>
      </c>
      <c r="T40" s="6">
        <f t="shared" si="17"/>
        <v>0.26120000332593918</v>
      </c>
      <c r="U40" s="6">
        <v>125</v>
      </c>
      <c r="AA40" s="101" t="s">
        <v>40</v>
      </c>
      <c r="AB40" s="101">
        <v>3.9199999999999999E-2</v>
      </c>
      <c r="AC40" s="101">
        <v>3.95E-2</v>
      </c>
      <c r="AD40" s="101">
        <v>3.9300000000000002E-2</v>
      </c>
      <c r="AE40" s="101">
        <v>4.1500000000000002E-2</v>
      </c>
      <c r="AF40" s="101">
        <v>3.9899999999999998E-2</v>
      </c>
      <c r="AG40" s="101">
        <v>3.9100000000000003E-2</v>
      </c>
      <c r="AH40" s="101">
        <v>4.53E-2</v>
      </c>
      <c r="AI40" s="101">
        <v>4.3799999999999999E-2</v>
      </c>
      <c r="AJ40" s="101">
        <v>4.1000000000000002E-2</v>
      </c>
      <c r="AK40" s="101">
        <v>4.2299999999999997E-2</v>
      </c>
      <c r="AL40" s="101">
        <v>4.19E-2</v>
      </c>
      <c r="AM40" s="101">
        <v>4.2099999999999999E-2</v>
      </c>
      <c r="AN40" s="101"/>
    </row>
    <row r="41" spans="1:40" ht="16" x14ac:dyDescent="0.2">
      <c r="A41" s="6">
        <f>'VSV eGFP 171013 '!A41</f>
        <v>0</v>
      </c>
      <c r="C41" s="6" t="s">
        <v>146</v>
      </c>
      <c r="D41" s="19">
        <f>D$28*1.1</f>
        <v>2120.4216906800866</v>
      </c>
      <c r="E41" s="19">
        <f t="shared" ref="E41:H41" si="23">E$28*1.1</f>
        <v>8216.6334292441625</v>
      </c>
      <c r="F41" s="19">
        <f t="shared" si="23"/>
        <v>11244.268124476075</v>
      </c>
      <c r="G41" s="19">
        <f t="shared" si="23"/>
        <v>15088.609937176112</v>
      </c>
      <c r="H41" s="19">
        <f t="shared" si="23"/>
        <v>17930.923306390647</v>
      </c>
      <c r="J41" s="19">
        <f>J28*1.1</f>
        <v>555.5474105857686</v>
      </c>
      <c r="K41" s="19">
        <f t="shared" ref="K41:M41" si="24">K28*1.1</f>
        <v>1735.4930213752391</v>
      </c>
      <c r="L41" s="19">
        <f t="shared" si="24"/>
        <v>1607.8118795679511</v>
      </c>
      <c r="M41" s="19">
        <f t="shared" si="24"/>
        <v>1548.2274409177901</v>
      </c>
      <c r="O41" s="19">
        <f>J41-$J41</f>
        <v>0</v>
      </c>
      <c r="P41" s="19">
        <f>L41-$J41</f>
        <v>1052.2644689821825</v>
      </c>
      <c r="Q41" s="19">
        <f>K41-$J41</f>
        <v>1179.9456107894705</v>
      </c>
      <c r="S41" s="6">
        <v>0.19290000200271606</v>
      </c>
      <c r="T41" s="6">
        <f t="shared" si="17"/>
        <v>0.13440000265836716</v>
      </c>
      <c r="U41" s="6">
        <v>62.5</v>
      </c>
      <c r="AA41" s="101" t="s">
        <v>41</v>
      </c>
      <c r="AB41" s="101">
        <v>4.6699999999999998E-2</v>
      </c>
      <c r="AC41" s="101">
        <v>3.9100000000000003E-2</v>
      </c>
      <c r="AD41" s="101">
        <v>3.9399999999999998E-2</v>
      </c>
      <c r="AE41" s="101">
        <v>4.0500000000000001E-2</v>
      </c>
      <c r="AF41" s="101">
        <v>3.95E-2</v>
      </c>
      <c r="AG41" s="101">
        <v>3.8699999999999998E-2</v>
      </c>
      <c r="AH41" s="101">
        <v>4.5499999999999999E-2</v>
      </c>
      <c r="AI41" s="101">
        <v>4.1200000000000001E-2</v>
      </c>
      <c r="AJ41" s="101">
        <v>4.0399999999999998E-2</v>
      </c>
      <c r="AK41" s="101">
        <v>4.0399999999999998E-2</v>
      </c>
      <c r="AL41" s="101">
        <v>4.1799999999999997E-2</v>
      </c>
      <c r="AM41" s="101">
        <v>4.0300000000000002E-2</v>
      </c>
      <c r="AN41" s="101"/>
    </row>
    <row r="42" spans="1:40" ht="16" x14ac:dyDescent="0.2">
      <c r="A42" s="6">
        <f>'VSV eGFP 171013 '!A42</f>
        <v>0</v>
      </c>
      <c r="C42" s="6" t="s">
        <v>147</v>
      </c>
      <c r="D42" s="19">
        <f>D$35*1.1</f>
        <v>1215.3636226058006</v>
      </c>
      <c r="E42" s="19">
        <f t="shared" ref="E42:H42" si="25">E$35*1.1</f>
        <v>6420.9073650330311</v>
      </c>
      <c r="F42" s="19">
        <f t="shared" si="25"/>
        <v>8428.0978678688407</v>
      </c>
      <c r="G42" s="19">
        <f t="shared" si="25"/>
        <v>10523.562012670935</v>
      </c>
      <c r="H42" s="19">
        <f t="shared" si="25"/>
        <v>14748.120444278418</v>
      </c>
      <c r="J42" s="19">
        <f>J35*1.1</f>
        <v>165.50054383302108</v>
      </c>
      <c r="K42" s="19">
        <f t="shared" ref="K42:M42" si="26">K35*1.1</f>
        <v>1432.50629309237</v>
      </c>
      <c r="L42" s="19">
        <f t="shared" si="26"/>
        <v>1438.9712033051253</v>
      </c>
      <c r="M42" s="19">
        <f t="shared" si="26"/>
        <v>1490.1513999685646</v>
      </c>
      <c r="O42" s="19">
        <f>J42-$J42</f>
        <v>0</v>
      </c>
      <c r="P42" s="19">
        <f>L42-$J42</f>
        <v>1273.4706594721042</v>
      </c>
      <c r="Q42" s="19">
        <f>K42-$J42</f>
        <v>1267.0057492593489</v>
      </c>
      <c r="S42" s="6">
        <v>0.13519999384880066</v>
      </c>
      <c r="T42" s="6">
        <f t="shared" si="17"/>
        <v>7.6699994504451752E-2</v>
      </c>
      <c r="U42" s="6">
        <v>31.25</v>
      </c>
      <c r="AA42" s="101" t="s">
        <v>42</v>
      </c>
      <c r="AB42" s="101">
        <v>3.9199999999999999E-2</v>
      </c>
      <c r="AC42" s="101">
        <v>4.1200000000000001E-2</v>
      </c>
      <c r="AD42" s="101">
        <v>3.9399999999999998E-2</v>
      </c>
      <c r="AE42" s="101">
        <v>4.02E-2</v>
      </c>
      <c r="AF42" s="101">
        <v>4.07E-2</v>
      </c>
      <c r="AG42" s="101">
        <v>3.8600000000000002E-2</v>
      </c>
      <c r="AH42" s="101">
        <v>3.9899999999999998E-2</v>
      </c>
      <c r="AI42" s="101">
        <v>4.1500000000000002E-2</v>
      </c>
      <c r="AJ42" s="101">
        <v>4.0300000000000002E-2</v>
      </c>
      <c r="AK42" s="101">
        <v>4.0800000000000003E-2</v>
      </c>
      <c r="AL42" s="101">
        <v>4.24E-2</v>
      </c>
      <c r="AM42" s="101">
        <v>3.9899999999999998E-2</v>
      </c>
      <c r="AN42" s="101"/>
    </row>
    <row r="43" spans="1:40" ht="16" x14ac:dyDescent="0.2">
      <c r="A43" s="6" t="str">
        <f>'VSV eGFP 171013 '!A43</f>
        <v>Average</v>
      </c>
      <c r="C43" s="36"/>
      <c r="D43" s="19">
        <f>AVERAGE(D39:D42)</f>
        <v>1870.644430367835</v>
      </c>
      <c r="E43" s="19">
        <f t="shared" ref="E43:H43" si="27">AVERAGE(E39:E42)</f>
        <v>7921.2493481397632</v>
      </c>
      <c r="F43" s="19">
        <f t="shared" si="27"/>
        <v>9476.830674563349</v>
      </c>
      <c r="G43" s="19">
        <f t="shared" si="27"/>
        <v>11835.067505232992</v>
      </c>
      <c r="H43" s="19">
        <f t="shared" si="27"/>
        <v>16288.372945160419</v>
      </c>
      <c r="J43" s="19">
        <f>AVERAGE(J39:J42)</f>
        <v>388.48451197956228</v>
      </c>
      <c r="K43" s="19">
        <f>AVERAGE(K39:K42)</f>
        <v>1670.9251609171929</v>
      </c>
      <c r="L43" s="19">
        <f>AVERAGE(L39:L42)</f>
        <v>1638.8702005397158</v>
      </c>
      <c r="M43" s="19">
        <f>AVERAGE(M39:M42)</f>
        <v>1564.0663553382458</v>
      </c>
      <c r="N43" s="6">
        <f>AVERAGE(N39:N42)</f>
        <v>0</v>
      </c>
      <c r="S43" s="6">
        <v>0.11519999802112579</v>
      </c>
      <c r="T43" s="6">
        <f t="shared" si="17"/>
        <v>5.6699998676776886E-2</v>
      </c>
      <c r="U43" s="6">
        <v>15.625</v>
      </c>
      <c r="AA43" s="101" t="s">
        <v>43</v>
      </c>
      <c r="AB43" s="101">
        <v>3.9199999999999999E-2</v>
      </c>
      <c r="AC43" s="101">
        <v>4.99E-2</v>
      </c>
      <c r="AD43" s="101">
        <v>4.1200000000000001E-2</v>
      </c>
      <c r="AE43" s="101">
        <v>3.9199999999999999E-2</v>
      </c>
      <c r="AF43" s="101">
        <v>4.0500000000000001E-2</v>
      </c>
      <c r="AG43" s="101">
        <v>4.41E-2</v>
      </c>
      <c r="AH43" s="101">
        <v>0.04</v>
      </c>
      <c r="AI43" s="101">
        <v>4.02E-2</v>
      </c>
      <c r="AJ43" s="101">
        <v>0.04</v>
      </c>
      <c r="AK43" s="101">
        <v>3.8800000000000001E-2</v>
      </c>
      <c r="AL43" s="101">
        <v>3.6700000000000003E-2</v>
      </c>
      <c r="AM43" s="101">
        <v>3.9300000000000002E-2</v>
      </c>
      <c r="AN43" s="101"/>
    </row>
    <row r="44" spans="1:40" ht="16" x14ac:dyDescent="0.2">
      <c r="A44" s="6">
        <f>'VSV eGFP 171013 '!A44</f>
        <v>0</v>
      </c>
      <c r="S44" s="3">
        <v>5.8499999344348907E-2</v>
      </c>
      <c r="T44" s="6">
        <f t="shared" si="17"/>
        <v>0</v>
      </c>
      <c r="U44" s="6">
        <v>0</v>
      </c>
      <c r="AA44" s="101" t="s">
        <v>44</v>
      </c>
      <c r="AB44" s="101">
        <v>4.0500000000000001E-2</v>
      </c>
      <c r="AC44" s="101">
        <v>3.9399999999999998E-2</v>
      </c>
      <c r="AD44" s="101">
        <v>5.2600000000000001E-2</v>
      </c>
      <c r="AE44" s="101">
        <v>3.8899999999999997E-2</v>
      </c>
      <c r="AF44" s="101">
        <v>4.1700000000000001E-2</v>
      </c>
      <c r="AG44" s="101">
        <v>3.78E-2</v>
      </c>
      <c r="AH44" s="101">
        <v>4.02E-2</v>
      </c>
      <c r="AI44" s="101">
        <v>4.2999999999999997E-2</v>
      </c>
      <c r="AJ44" s="101">
        <v>4.0599999999999997E-2</v>
      </c>
      <c r="AK44" s="101">
        <v>3.8800000000000001E-2</v>
      </c>
      <c r="AL44" s="101">
        <v>4.5900000000000003E-2</v>
      </c>
      <c r="AM44" s="101">
        <v>3.8399999999999997E-2</v>
      </c>
      <c r="AN44" s="101"/>
    </row>
    <row r="45" spans="1:40" ht="16" x14ac:dyDescent="0.2">
      <c r="A45" s="6" t="str">
        <f>'VSV eGFP 171013 '!A45</f>
        <v>FOLD change (cf 'mock')</v>
      </c>
      <c r="C45" s="6" t="s">
        <v>84</v>
      </c>
      <c r="D45" s="6">
        <f>D39/$J39</f>
        <v>9.4394656309730376</v>
      </c>
      <c r="E45" s="6">
        <f t="shared" ref="E45:H45" si="28">E39/$J39</f>
        <v>23.639944211786233</v>
      </c>
      <c r="F45" s="6">
        <f t="shared" si="28"/>
        <v>28.010169976017472</v>
      </c>
      <c r="G45" s="6">
        <f t="shared" si="28"/>
        <v>27.448754407624548</v>
      </c>
      <c r="H45" s="6">
        <f t="shared" si="28"/>
        <v>40.317249717706176</v>
      </c>
      <c r="I45" s="6">
        <f>I39/$D$39</f>
        <v>0</v>
      </c>
      <c r="J45" s="6">
        <f t="shared" ref="J45:M45" si="29">J39/$J39</f>
        <v>1</v>
      </c>
      <c r="K45" s="6">
        <f t="shared" si="29"/>
        <v>4.6580135936097555</v>
      </c>
      <c r="L45" s="6">
        <f t="shared" si="29"/>
        <v>4.4489277617845833</v>
      </c>
      <c r="M45" s="6">
        <f t="shared" si="29"/>
        <v>4.1269752185360025</v>
      </c>
      <c r="AA45" s="101" t="s">
        <v>45</v>
      </c>
      <c r="AB45" s="101">
        <v>3.8199999999999998E-2</v>
      </c>
      <c r="AC45" s="101">
        <v>3.9100000000000003E-2</v>
      </c>
      <c r="AD45" s="101">
        <v>4.1700000000000001E-2</v>
      </c>
      <c r="AE45" s="101">
        <v>3.9E-2</v>
      </c>
      <c r="AF45" s="101">
        <v>4.2200000000000001E-2</v>
      </c>
      <c r="AG45" s="101">
        <v>3.8199999999999998E-2</v>
      </c>
      <c r="AH45" s="101">
        <v>4.1799999999999997E-2</v>
      </c>
      <c r="AI45" s="101">
        <v>4.07E-2</v>
      </c>
      <c r="AJ45" s="101">
        <v>4.4200000000000003E-2</v>
      </c>
      <c r="AK45" s="101">
        <v>3.8899999999999997E-2</v>
      </c>
      <c r="AL45" s="101">
        <v>3.8899999999999997E-2</v>
      </c>
      <c r="AM45" s="101">
        <v>3.8399999999999997E-2</v>
      </c>
      <c r="AN45" s="101"/>
    </row>
    <row r="46" spans="1:40" ht="16" x14ac:dyDescent="0.2">
      <c r="A46" s="6">
        <f>'VSV eGFP 171013 '!A46</f>
        <v>0</v>
      </c>
      <c r="C46" s="6" t="s">
        <v>85</v>
      </c>
      <c r="D46" s="6">
        <f>D40/$J40</f>
        <v>1.2022576398318787</v>
      </c>
      <c r="E46" s="6">
        <f t="shared" ref="E46:H46" si="30">E40/$J40</f>
        <v>17.782226104353345</v>
      </c>
      <c r="F46" s="6">
        <f t="shared" si="30"/>
        <v>16.71510543711193</v>
      </c>
      <c r="G46" s="6">
        <f t="shared" si="30"/>
        <v>24.935191360981069</v>
      </c>
      <c r="H46" s="6">
        <f t="shared" si="30"/>
        <v>37.866448719510174</v>
      </c>
      <c r="I46" s="6">
        <f>I40/$D$40</f>
        <v>0</v>
      </c>
      <c r="J46" s="6">
        <f t="shared" ref="J46:M46" si="31">J40/$J40</f>
        <v>1</v>
      </c>
      <c r="K46" s="6">
        <f t="shared" si="31"/>
        <v>3.8511706453527137</v>
      </c>
      <c r="L46" s="6">
        <f t="shared" si="31"/>
        <v>4.0126613595369749</v>
      </c>
      <c r="M46" s="6">
        <f t="shared" si="31"/>
        <v>3.6404683649339291</v>
      </c>
      <c r="AA46" s="101" t="s">
        <v>46</v>
      </c>
      <c r="AB46" s="101">
        <v>3.8399999999999997E-2</v>
      </c>
      <c r="AC46" s="101">
        <v>3.8899999999999997E-2</v>
      </c>
      <c r="AD46" s="101">
        <v>3.9399999999999998E-2</v>
      </c>
      <c r="AE46" s="101">
        <v>3.9100000000000003E-2</v>
      </c>
      <c r="AF46" s="101">
        <v>3.9300000000000002E-2</v>
      </c>
      <c r="AG46" s="101">
        <v>3.9600000000000003E-2</v>
      </c>
      <c r="AH46" s="101">
        <v>4.1399999999999999E-2</v>
      </c>
      <c r="AI46" s="101">
        <v>3.9800000000000002E-2</v>
      </c>
      <c r="AJ46" s="101">
        <v>4.2299999999999997E-2</v>
      </c>
      <c r="AK46" s="101">
        <v>3.9600000000000003E-2</v>
      </c>
      <c r="AL46" s="101">
        <v>3.9100000000000003E-2</v>
      </c>
      <c r="AM46" s="101">
        <v>3.85E-2</v>
      </c>
      <c r="AN46" s="101"/>
    </row>
    <row r="47" spans="1:40" ht="16" x14ac:dyDescent="0.2">
      <c r="A47" s="6">
        <f>'VSV eGFP 171013 '!A47</f>
        <v>0</v>
      </c>
      <c r="C47" s="6" t="s">
        <v>146</v>
      </c>
      <c r="D47" s="6">
        <f>D41/$J41</f>
        <v>3.8168150013413187</v>
      </c>
      <c r="E47" s="6">
        <f t="shared" ref="E47:H47" si="32">E41/$J41</f>
        <v>14.79015701032708</v>
      </c>
      <c r="F47" s="6">
        <f t="shared" si="32"/>
        <v>20.239979361293631</v>
      </c>
      <c r="G47" s="6">
        <f t="shared" si="32"/>
        <v>27.159896076676333</v>
      </c>
      <c r="H47" s="6">
        <f t="shared" si="32"/>
        <v>32.27613515016531</v>
      </c>
      <c r="I47" s="6">
        <f>I41/$D$41</f>
        <v>0</v>
      </c>
      <c r="J47" s="6">
        <f t="shared" ref="J47:M47" si="33">J41/$J41</f>
        <v>1</v>
      </c>
      <c r="K47" s="6">
        <f t="shared" si="33"/>
        <v>3.1239332382907468</v>
      </c>
      <c r="L47" s="6">
        <f t="shared" si="33"/>
        <v>2.8941038135209305</v>
      </c>
      <c r="M47" s="6">
        <f t="shared" si="33"/>
        <v>2.7868502515120008</v>
      </c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</row>
    <row r="48" spans="1:40" ht="16" x14ac:dyDescent="0.2">
      <c r="A48" s="6">
        <f>'VSV eGFP 171013 '!A48</f>
        <v>0</v>
      </c>
      <c r="C48" s="6" t="s">
        <v>147</v>
      </c>
      <c r="D48" s="6">
        <f>D42/$J42</f>
        <v>7.3435627125915719</v>
      </c>
      <c r="E48" s="6">
        <f t="shared" ref="E48:H48" si="34">E42/$J42</f>
        <v>38.796895867069139</v>
      </c>
      <c r="F48" s="6">
        <f t="shared" si="34"/>
        <v>50.92489530652071</v>
      </c>
      <c r="G48" s="6">
        <f t="shared" si="34"/>
        <v>63.586268473464962</v>
      </c>
      <c r="H48" s="6">
        <f t="shared" si="34"/>
        <v>89.112217414574062</v>
      </c>
      <c r="I48" s="6">
        <f>I42/$D$42</f>
        <v>0</v>
      </c>
      <c r="J48" s="6">
        <f t="shared" ref="J48:M48" si="35">J42/$J42</f>
        <v>1</v>
      </c>
      <c r="K48" s="6">
        <f t="shared" si="35"/>
        <v>8.6555987062959296</v>
      </c>
      <c r="L48" s="6">
        <f t="shared" si="35"/>
        <v>8.6946614795232975</v>
      </c>
      <c r="M48" s="6">
        <f t="shared" si="35"/>
        <v>9.0039063646342292</v>
      </c>
      <c r="AA48" s="101" t="s">
        <v>50</v>
      </c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</row>
    <row r="49" spans="1:40" ht="16" x14ac:dyDescent="0.2">
      <c r="A49" s="6">
        <f>'VSV eGFP 171013 '!A49</f>
        <v>0</v>
      </c>
      <c r="D49" s="19">
        <f>AVERAGE(D45:D48)</f>
        <v>5.4505252461844513</v>
      </c>
      <c r="E49" s="19">
        <f t="shared" ref="E49" si="36">AVERAGE(E45:E48)</f>
        <v>23.752305798383951</v>
      </c>
      <c r="F49" s="19">
        <f t="shared" ref="F49" si="37">AVERAGE(F45:F48)</f>
        <v>28.972537520235935</v>
      </c>
      <c r="G49" s="19">
        <f t="shared" ref="G49" si="38">AVERAGE(G45:G48)</f>
        <v>35.782527579686729</v>
      </c>
      <c r="H49" s="19">
        <f t="shared" ref="H49" si="39">AVERAGE(H45:H48)</f>
        <v>49.893012750488936</v>
      </c>
      <c r="J49" s="19">
        <f>AVERAGE(J45:J48)</f>
        <v>1</v>
      </c>
      <c r="K49" s="19">
        <f>AVERAGE(K45:K48)</f>
        <v>5.0721790458872862</v>
      </c>
      <c r="L49" s="19">
        <f>AVERAGE(L45:L48)</f>
        <v>5.0125886035914462</v>
      </c>
      <c r="M49" s="19">
        <f>AVERAGE(M45:M48)</f>
        <v>4.8895500499040407</v>
      </c>
      <c r="AA49" s="101" t="s">
        <v>37</v>
      </c>
      <c r="AB49" s="101">
        <v>1</v>
      </c>
      <c r="AC49" s="101">
        <v>2</v>
      </c>
      <c r="AD49" s="101">
        <v>3</v>
      </c>
      <c r="AE49" s="101">
        <v>4</v>
      </c>
      <c r="AF49" s="101">
        <v>5</v>
      </c>
      <c r="AG49" s="101">
        <v>6</v>
      </c>
      <c r="AH49" s="101">
        <v>7</v>
      </c>
      <c r="AI49" s="101">
        <v>8</v>
      </c>
      <c r="AJ49" s="101">
        <v>9</v>
      </c>
      <c r="AK49" s="101">
        <v>10</v>
      </c>
      <c r="AL49" s="101">
        <v>11</v>
      </c>
      <c r="AM49" s="101">
        <v>12</v>
      </c>
      <c r="AN49" s="101"/>
    </row>
    <row r="50" spans="1:40" ht="16" x14ac:dyDescent="0.2">
      <c r="A50" s="6">
        <f>'VSV eGFP 171013 '!A50</f>
        <v>0</v>
      </c>
      <c r="AA50" s="101" t="s">
        <v>39</v>
      </c>
      <c r="AB50" s="101">
        <v>0.1729</v>
      </c>
      <c r="AC50" s="101">
        <v>0.2303</v>
      </c>
      <c r="AD50" s="101">
        <v>0.2964</v>
      </c>
      <c r="AE50" s="101">
        <v>0.33460000000000001</v>
      </c>
      <c r="AF50" s="101">
        <v>0.46510000000000001</v>
      </c>
      <c r="AG50" s="101">
        <v>0.13089999999999999</v>
      </c>
      <c r="AH50" s="101">
        <v>0.71160000000000001</v>
      </c>
      <c r="AI50" s="101">
        <v>0.63319999999999999</v>
      </c>
      <c r="AJ50" s="101">
        <v>0.58430000000000004</v>
      </c>
      <c r="AK50" s="105">
        <v>2.3167</v>
      </c>
      <c r="AL50" s="105">
        <v>2.6076000000000001</v>
      </c>
      <c r="AM50" s="106">
        <v>2.6747000000000001</v>
      </c>
      <c r="AN50" s="101"/>
    </row>
    <row r="51" spans="1:40" ht="16" x14ac:dyDescent="0.2">
      <c r="A51" s="6" t="str">
        <f>'VSV eGFP 171013 '!A51</f>
        <v>RESULTS -</v>
      </c>
      <c r="B51" s="61"/>
      <c r="C51" s="6" t="s">
        <v>176</v>
      </c>
      <c r="AA51" s="101" t="s">
        <v>40</v>
      </c>
      <c r="AB51" s="101">
        <v>0.1565</v>
      </c>
      <c r="AC51" s="101">
        <v>0.35709999999999997</v>
      </c>
      <c r="AD51" s="101">
        <v>0.37040000000000001</v>
      </c>
      <c r="AE51" s="101">
        <v>0.32200000000000001</v>
      </c>
      <c r="AF51" s="101">
        <v>0.42530000000000001</v>
      </c>
      <c r="AG51" s="101">
        <v>0.2235</v>
      </c>
      <c r="AH51" s="101">
        <v>0.93920000000000003</v>
      </c>
      <c r="AI51" s="101">
        <v>0.94350000000000001</v>
      </c>
      <c r="AJ51" s="101">
        <v>0.87829999999999997</v>
      </c>
      <c r="AK51" s="105">
        <v>1.0934999999999999</v>
      </c>
      <c r="AL51" s="105">
        <v>1.1917</v>
      </c>
      <c r="AM51" s="106">
        <v>1.2490000000000001</v>
      </c>
      <c r="AN51" s="101"/>
    </row>
    <row r="52" spans="1:40" ht="16" x14ac:dyDescent="0.2">
      <c r="A52" s="6">
        <f>'VSV eGFP 171013 '!A52</f>
        <v>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AA52" s="101" t="s">
        <v>41</v>
      </c>
      <c r="AB52" s="101">
        <v>8.9099999999999999E-2</v>
      </c>
      <c r="AC52" s="101">
        <v>0.2727</v>
      </c>
      <c r="AD52" s="101">
        <v>0.27829999999999999</v>
      </c>
      <c r="AE52" s="101">
        <v>0.34860000000000002</v>
      </c>
      <c r="AF52" s="101">
        <v>0.47120000000000001</v>
      </c>
      <c r="AG52" s="101">
        <v>0.18310000000000001</v>
      </c>
      <c r="AH52" s="101">
        <v>0.91669999999999996</v>
      </c>
      <c r="AI52" s="101">
        <v>0.88619999999999999</v>
      </c>
      <c r="AJ52" s="101">
        <v>0.77170000000000005</v>
      </c>
      <c r="AK52" s="105">
        <v>0.63700000000000001</v>
      </c>
      <c r="AL52" s="105">
        <v>0.66090000000000004</v>
      </c>
      <c r="AM52" s="106">
        <v>0.61019999999999996</v>
      </c>
      <c r="AN52" s="101"/>
    </row>
    <row r="53" spans="1:40" ht="16" x14ac:dyDescent="0.2">
      <c r="C53" s="60"/>
      <c r="D53" s="60"/>
      <c r="E53" s="60"/>
      <c r="F53" s="60"/>
      <c r="G53" s="60"/>
      <c r="H53" s="60"/>
      <c r="I53" s="60"/>
      <c r="J53" s="60"/>
      <c r="K53" s="60"/>
      <c r="L53" s="60"/>
      <c r="AA53" s="101" t="s">
        <v>42</v>
      </c>
      <c r="AB53" s="101">
        <v>9.4600000000000004E-2</v>
      </c>
      <c r="AC53" s="101">
        <v>0.26679999999999998</v>
      </c>
      <c r="AD53" s="101">
        <v>0.23830000000000001</v>
      </c>
      <c r="AE53" s="101">
        <v>0.34439999999999998</v>
      </c>
      <c r="AF53" s="101">
        <v>0.49930000000000002</v>
      </c>
      <c r="AG53" s="101">
        <v>0.23549999999999999</v>
      </c>
      <c r="AH53" s="101">
        <v>0.69540000000000002</v>
      </c>
      <c r="AI53" s="101">
        <v>0.79349999999999998</v>
      </c>
      <c r="AJ53" s="101">
        <v>0.75219999999999998</v>
      </c>
      <c r="AK53" s="105">
        <v>0.53100000000000003</v>
      </c>
      <c r="AL53" s="105">
        <v>0.42880000000000001</v>
      </c>
      <c r="AM53" s="106">
        <v>0.31969999999999998</v>
      </c>
      <c r="AN53" s="101"/>
    </row>
    <row r="54" spans="1:40" ht="16" x14ac:dyDescent="0.2">
      <c r="C54" s="58"/>
      <c r="D54" s="58"/>
      <c r="E54" s="58"/>
      <c r="F54" s="58"/>
      <c r="G54" s="58"/>
      <c r="H54" s="58"/>
      <c r="I54" s="58"/>
      <c r="J54" s="58"/>
      <c r="K54" s="58"/>
      <c r="L54" s="58"/>
      <c r="AA54" s="101" t="s">
        <v>43</v>
      </c>
      <c r="AB54" s="101">
        <v>9.9199999999999997E-2</v>
      </c>
      <c r="AC54" s="101">
        <v>0.1988</v>
      </c>
      <c r="AD54" s="101">
        <v>0.2697</v>
      </c>
      <c r="AE54" s="101">
        <v>0.45679999999999998</v>
      </c>
      <c r="AF54" s="101">
        <v>0.52559999999999996</v>
      </c>
      <c r="AG54" s="101">
        <v>0.40489999999999998</v>
      </c>
      <c r="AH54" s="101">
        <v>0.74639999999999995</v>
      </c>
      <c r="AI54" s="101">
        <v>0.77569999999999995</v>
      </c>
      <c r="AJ54" s="101">
        <v>0.70450000000000002</v>
      </c>
      <c r="AK54" s="105">
        <v>0.312</v>
      </c>
      <c r="AL54" s="105">
        <v>0.25259999999999999</v>
      </c>
      <c r="AM54" s="106">
        <v>0.19289999999999999</v>
      </c>
      <c r="AN54" s="101"/>
    </row>
    <row r="55" spans="1:40" ht="16" x14ac:dyDescent="0.2">
      <c r="AA55" s="101" t="s">
        <v>44</v>
      </c>
      <c r="AB55" s="101">
        <v>0.1162</v>
      </c>
      <c r="AC55" s="101">
        <v>0.29949999999999999</v>
      </c>
      <c r="AD55" s="101">
        <v>0.36909999999999998</v>
      </c>
      <c r="AE55" s="101">
        <v>0.3604</v>
      </c>
      <c r="AF55" s="101">
        <v>0.42349999999999999</v>
      </c>
      <c r="AG55" s="101">
        <v>0.11070000000000001</v>
      </c>
      <c r="AH55" s="101">
        <v>0.86429999999999996</v>
      </c>
      <c r="AI55" s="101">
        <v>0.71650000000000003</v>
      </c>
      <c r="AJ55" s="101">
        <v>0.73240000000000005</v>
      </c>
      <c r="AK55" s="105">
        <v>0.29170000000000001</v>
      </c>
      <c r="AL55" s="105">
        <v>0.3639</v>
      </c>
      <c r="AM55" s="106">
        <v>0.13519999999999999</v>
      </c>
      <c r="AN55" s="101"/>
    </row>
    <row r="56" spans="1:40" ht="16" x14ac:dyDescent="0.2">
      <c r="AA56" s="101" t="s">
        <v>45</v>
      </c>
      <c r="AB56" s="101">
        <v>9.8900000000000002E-2</v>
      </c>
      <c r="AC56" s="101">
        <v>0.2387</v>
      </c>
      <c r="AD56" s="101">
        <v>0.28360000000000002</v>
      </c>
      <c r="AE56" s="101">
        <v>0.31709999999999999</v>
      </c>
      <c r="AF56" s="101">
        <v>0.42749999999999999</v>
      </c>
      <c r="AG56" s="101">
        <v>8.2299999999999998E-2</v>
      </c>
      <c r="AH56" s="101">
        <v>0.67259999999999998</v>
      </c>
      <c r="AI56" s="101">
        <v>0.70279999999999998</v>
      </c>
      <c r="AJ56" s="101">
        <v>0.80400000000000005</v>
      </c>
      <c r="AK56" s="105">
        <v>0.34300000000000003</v>
      </c>
      <c r="AL56" s="105">
        <v>0.26240000000000002</v>
      </c>
      <c r="AM56" s="106">
        <v>0.1152</v>
      </c>
      <c r="AN56" s="101"/>
    </row>
    <row r="57" spans="1:40" ht="16" x14ac:dyDescent="0.2">
      <c r="AA57" s="101" t="s">
        <v>46</v>
      </c>
      <c r="AB57" s="101">
        <v>7.4499999999999997E-2</v>
      </c>
      <c r="AC57" s="101">
        <v>0.18379999999999999</v>
      </c>
      <c r="AD57" s="101">
        <v>0.2344</v>
      </c>
      <c r="AE57" s="101">
        <v>0.30059999999999998</v>
      </c>
      <c r="AF57" s="101">
        <v>0.39119999999999999</v>
      </c>
      <c r="AG57" s="101">
        <v>7.1300000000000002E-2</v>
      </c>
      <c r="AH57" s="101">
        <v>0.65690000000000004</v>
      </c>
      <c r="AI57" s="101">
        <v>0.63270000000000004</v>
      </c>
      <c r="AJ57" s="101">
        <v>0.57899999999999996</v>
      </c>
      <c r="AK57" s="105">
        <v>8.2699999999999996E-2</v>
      </c>
      <c r="AL57" s="105">
        <v>7.5200000000000003E-2</v>
      </c>
      <c r="AM57" s="106">
        <v>5.8500000000000003E-2</v>
      </c>
      <c r="AN57" s="101"/>
    </row>
    <row r="58" spans="1:40" ht="16" x14ac:dyDescent="0.2"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</row>
    <row r="59" spans="1:40" ht="16" x14ac:dyDescent="0.2"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</row>
    <row r="60" spans="1:40" ht="16" x14ac:dyDescent="0.2">
      <c r="AA60" s="101" t="s">
        <v>51</v>
      </c>
      <c r="AB60" s="104">
        <v>43026.691724537035</v>
      </c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</row>
    <row r="61" spans="1:40" ht="16" x14ac:dyDescent="0.2"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</row>
    <row r="62" spans="1:40" ht="16" x14ac:dyDescent="0.2"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</row>
    <row r="63" spans="1:40" ht="16" x14ac:dyDescent="0.2">
      <c r="O63" s="53" t="s">
        <v>48</v>
      </c>
      <c r="P63" s="53" t="s">
        <v>49</v>
      </c>
      <c r="Q63" s="53" t="s">
        <v>49</v>
      </c>
      <c r="R63" s="53" t="s">
        <v>49</v>
      </c>
      <c r="S63" s="3">
        <v>6.25E-2</v>
      </c>
      <c r="T63" s="3">
        <v>0.125</v>
      </c>
      <c r="U63" s="3">
        <v>0.25</v>
      </c>
      <c r="V63" s="3">
        <v>0.5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125" t="s">
        <v>194</v>
      </c>
      <c r="AL63" s="125"/>
      <c r="AN63" s="101"/>
    </row>
    <row r="64" spans="1:40" ht="16" x14ac:dyDescent="0.2">
      <c r="O64" s="6">
        <v>347.14365413822236</v>
      </c>
      <c r="P64" s="6">
        <v>1616.9998599112034</v>
      </c>
      <c r="Q64" s="6">
        <v>1544.4170402228833</v>
      </c>
      <c r="R64" s="6">
        <v>1432.6532579004765</v>
      </c>
      <c r="S64" s="6">
        <v>11223.451881542802</v>
      </c>
      <c r="T64" s="6">
        <v>12740.54802274704</v>
      </c>
      <c r="U64" s="6">
        <v>12545.656170845032</v>
      </c>
      <c r="V64" s="6">
        <v>17012.872656047344</v>
      </c>
      <c r="AA64" s="4" t="s">
        <v>193</v>
      </c>
      <c r="AB64" s="4">
        <f>AB49</f>
        <v>1</v>
      </c>
      <c r="AC64" s="4">
        <f t="shared" ref="AC64:AM64" si="40">AC49</f>
        <v>2</v>
      </c>
      <c r="AD64" s="4">
        <f t="shared" si="40"/>
        <v>3</v>
      </c>
      <c r="AE64" s="4">
        <f t="shared" si="40"/>
        <v>4</v>
      </c>
      <c r="AF64" s="4">
        <f t="shared" si="40"/>
        <v>5</v>
      </c>
      <c r="AG64" s="4">
        <f t="shared" si="40"/>
        <v>6</v>
      </c>
      <c r="AH64" s="4">
        <f t="shared" si="40"/>
        <v>7</v>
      </c>
      <c r="AI64" s="4">
        <f t="shared" si="40"/>
        <v>8</v>
      </c>
      <c r="AJ64" s="4">
        <f t="shared" si="40"/>
        <v>9</v>
      </c>
      <c r="AK64" s="4">
        <f t="shared" si="40"/>
        <v>10</v>
      </c>
      <c r="AL64" s="4">
        <f t="shared" si="40"/>
        <v>11</v>
      </c>
      <c r="AM64" s="4">
        <f t="shared" si="40"/>
        <v>12</v>
      </c>
      <c r="AN64" s="101"/>
    </row>
    <row r="65" spans="14:38" ht="48" x14ac:dyDescent="0.2">
      <c r="O65" s="6">
        <v>410.02915813401341</v>
      </c>
      <c r="P65" s="6">
        <v>1579.0922575443983</v>
      </c>
      <c r="Q65" s="6">
        <v>1645.3081591278315</v>
      </c>
      <c r="R65" s="6">
        <v>1492.6981788873672</v>
      </c>
      <c r="S65" s="6">
        <v>10308.22646355629</v>
      </c>
      <c r="T65" s="6">
        <v>9870.6758747398853</v>
      </c>
      <c r="U65" s="6">
        <v>13241.150785893202</v>
      </c>
      <c r="V65" s="6">
        <v>18543.343354225159</v>
      </c>
      <c r="Z65" s="158" t="s">
        <v>405</v>
      </c>
      <c r="AA65" s="9" t="str">
        <f>AA50</f>
        <v>A</v>
      </c>
      <c r="AB65" s="1" t="s">
        <v>287</v>
      </c>
      <c r="AC65" s="1" t="s">
        <v>288</v>
      </c>
      <c r="AD65" s="1" t="s">
        <v>289</v>
      </c>
      <c r="AE65" s="1" t="s">
        <v>290</v>
      </c>
      <c r="AF65" s="1" t="s">
        <v>291</v>
      </c>
      <c r="AG65" s="1" t="s">
        <v>292</v>
      </c>
      <c r="AH65" s="1" t="s">
        <v>287</v>
      </c>
      <c r="AI65" s="1" t="s">
        <v>293</v>
      </c>
      <c r="AJ65" s="1" t="s">
        <v>294</v>
      </c>
      <c r="AK65" s="7">
        <v>1000</v>
      </c>
      <c r="AL65" s="7">
        <v>1000</v>
      </c>
    </row>
    <row r="66" spans="14:38" ht="64" x14ac:dyDescent="0.2">
      <c r="O66" s="6">
        <v>505.04310053251686</v>
      </c>
      <c r="P66" s="6">
        <v>1577.7209285229444</v>
      </c>
      <c r="Q66" s="6">
        <v>1461.6471632435919</v>
      </c>
      <c r="R66" s="6">
        <v>1407.4794917434454</v>
      </c>
      <c r="S66" s="6">
        <v>9521.0178348720056</v>
      </c>
      <c r="T66" s="6">
        <v>12205.551507979631</v>
      </c>
      <c r="U66" s="6">
        <v>15614.240496575832</v>
      </c>
      <c r="V66" s="6">
        <v>18134.454035282135</v>
      </c>
      <c r="Z66" s="148"/>
      <c r="AA66" s="4" t="str">
        <f t="shared" ref="AA66:AA72" si="41">AA51</f>
        <v>B</v>
      </c>
      <c r="AB66" s="1" t="s">
        <v>295</v>
      </c>
      <c r="AC66" s="1" t="s">
        <v>296</v>
      </c>
      <c r="AD66" s="1" t="s">
        <v>297</v>
      </c>
      <c r="AE66" s="1" t="s">
        <v>298</v>
      </c>
      <c r="AF66" s="1" t="s">
        <v>299</v>
      </c>
      <c r="AG66" s="1" t="s">
        <v>300</v>
      </c>
      <c r="AH66" s="1" t="s">
        <v>295</v>
      </c>
      <c r="AI66" s="1" t="s">
        <v>301</v>
      </c>
      <c r="AJ66" s="1" t="s">
        <v>302</v>
      </c>
      <c r="AK66" s="7">
        <v>500</v>
      </c>
      <c r="AL66" s="7">
        <v>500</v>
      </c>
    </row>
    <row r="67" spans="14:38" ht="48" x14ac:dyDescent="0.2">
      <c r="O67" s="6">
        <v>150.45503984820098</v>
      </c>
      <c r="P67" s="6">
        <v>1302.2784482657908</v>
      </c>
      <c r="Q67" s="6">
        <v>1308.1556393682956</v>
      </c>
      <c r="R67" s="6">
        <v>1354.6830908805132</v>
      </c>
      <c r="S67" s="6">
        <v>8072.7074886113396</v>
      </c>
      <c r="T67" s="6">
        <v>9897.4261275529861</v>
      </c>
      <c r="U67" s="6">
        <v>11802.393531918526</v>
      </c>
      <c r="V67" s="6">
        <v>15642.901197016237</v>
      </c>
      <c r="Z67" s="148"/>
      <c r="AA67" s="4" t="str">
        <f t="shared" si="41"/>
        <v>C</v>
      </c>
      <c r="AB67" s="1" t="s">
        <v>303</v>
      </c>
      <c r="AC67" s="1" t="s">
        <v>304</v>
      </c>
      <c r="AD67" s="1" t="s">
        <v>305</v>
      </c>
      <c r="AE67" s="1" t="s">
        <v>306</v>
      </c>
      <c r="AF67" s="1" t="s">
        <v>307</v>
      </c>
      <c r="AG67" s="1" t="s">
        <v>308</v>
      </c>
      <c r="AH67" s="1" t="s">
        <v>303</v>
      </c>
      <c r="AI67" s="1" t="s">
        <v>309</v>
      </c>
      <c r="AJ67" s="1" t="s">
        <v>310</v>
      </c>
      <c r="AK67" s="7">
        <v>250</v>
      </c>
      <c r="AL67" s="7">
        <v>250</v>
      </c>
    </row>
    <row r="68" spans="14:38" ht="64" x14ac:dyDescent="0.2">
      <c r="N68" s="3" t="s">
        <v>148</v>
      </c>
      <c r="O68" s="6">
        <f>TTEST(O64:O67,P64:P67,2,2)</f>
        <v>3.0944827620041734E-5</v>
      </c>
      <c r="Q68" s="6">
        <f t="shared" ref="Q68:V68" si="42">TTEST($P$64:$P$67,Q64:Q67,2,2)</f>
        <v>0.78449812801563468</v>
      </c>
      <c r="R68" s="6">
        <f t="shared" si="42"/>
        <v>0.2607910034021001</v>
      </c>
      <c r="S68" s="6">
        <f t="shared" si="42"/>
        <v>1.7537886715195381E-5</v>
      </c>
      <c r="T68" s="6">
        <f t="shared" si="42"/>
        <v>1.4420889097807558E-5</v>
      </c>
      <c r="U68" s="6">
        <f t="shared" si="42"/>
        <v>7.5523838074704473E-6</v>
      </c>
      <c r="V68" s="6">
        <f t="shared" si="42"/>
        <v>3.2818425996409286E-7</v>
      </c>
      <c r="Z68" s="148"/>
      <c r="AA68" s="4" t="str">
        <f t="shared" si="41"/>
        <v>D</v>
      </c>
      <c r="AB68" s="1" t="s">
        <v>311</v>
      </c>
      <c r="AC68" s="1" t="s">
        <v>312</v>
      </c>
      <c r="AD68" s="1" t="s">
        <v>313</v>
      </c>
      <c r="AE68" s="1" t="s">
        <v>314</v>
      </c>
      <c r="AF68" s="1" t="s">
        <v>315</v>
      </c>
      <c r="AG68" s="1" t="s">
        <v>316</v>
      </c>
      <c r="AH68" s="1" t="s">
        <v>311</v>
      </c>
      <c r="AI68" s="1" t="s">
        <v>317</v>
      </c>
      <c r="AJ68" s="1" t="s">
        <v>318</v>
      </c>
      <c r="AK68" s="7">
        <v>125</v>
      </c>
      <c r="AL68" s="7">
        <v>125</v>
      </c>
    </row>
    <row r="69" spans="14:38" ht="48" x14ac:dyDescent="0.2">
      <c r="Z69" s="148"/>
      <c r="AA69" s="4" t="str">
        <f t="shared" si="41"/>
        <v>E</v>
      </c>
      <c r="AB69" s="1" t="s">
        <v>319</v>
      </c>
      <c r="AC69" s="1" t="s">
        <v>320</v>
      </c>
      <c r="AD69" s="1" t="s">
        <v>321</v>
      </c>
      <c r="AE69" s="1" t="s">
        <v>322</v>
      </c>
      <c r="AF69" s="1" t="s">
        <v>323</v>
      </c>
      <c r="AG69" s="1" t="s">
        <v>324</v>
      </c>
      <c r="AH69" s="1" t="s">
        <v>319</v>
      </c>
      <c r="AI69" s="1" t="s">
        <v>325</v>
      </c>
      <c r="AJ69" s="1" t="s">
        <v>326</v>
      </c>
      <c r="AK69" s="7">
        <v>62.5</v>
      </c>
      <c r="AL69" s="7">
        <v>62.5</v>
      </c>
    </row>
    <row r="70" spans="14:38" ht="64" x14ac:dyDescent="0.2">
      <c r="Z70" s="148"/>
      <c r="AA70" s="4" t="str">
        <f t="shared" si="41"/>
        <v>F</v>
      </c>
      <c r="AB70" s="1" t="s">
        <v>327</v>
      </c>
      <c r="AC70" s="1" t="s">
        <v>328</v>
      </c>
      <c r="AD70" s="1" t="s">
        <v>329</v>
      </c>
      <c r="AE70" s="1" t="s">
        <v>330</v>
      </c>
      <c r="AF70" s="1" t="s">
        <v>331</v>
      </c>
      <c r="AG70" s="1" t="s">
        <v>332</v>
      </c>
      <c r="AH70" s="1" t="s">
        <v>327</v>
      </c>
      <c r="AI70" s="1" t="s">
        <v>333</v>
      </c>
      <c r="AJ70" s="1" t="s">
        <v>334</v>
      </c>
      <c r="AK70" s="7">
        <v>31.25</v>
      </c>
      <c r="AL70" s="7">
        <v>31.25</v>
      </c>
    </row>
    <row r="71" spans="14:38" ht="48" x14ac:dyDescent="0.2">
      <c r="Z71" s="148"/>
      <c r="AA71" s="4" t="str">
        <f t="shared" si="41"/>
        <v>G</v>
      </c>
      <c r="AB71" s="1" t="s">
        <v>335</v>
      </c>
      <c r="AC71" s="1" t="s">
        <v>336</v>
      </c>
      <c r="AD71" s="1" t="s">
        <v>337</v>
      </c>
      <c r="AE71" s="1" t="s">
        <v>338</v>
      </c>
      <c r="AF71" s="1" t="s">
        <v>339</v>
      </c>
      <c r="AG71" s="1" t="s">
        <v>340</v>
      </c>
      <c r="AH71" s="1" t="s">
        <v>335</v>
      </c>
      <c r="AI71" s="1" t="s">
        <v>341</v>
      </c>
      <c r="AJ71" s="1" t="s">
        <v>342</v>
      </c>
      <c r="AK71" s="7">
        <v>15.625</v>
      </c>
      <c r="AL71" s="7">
        <v>15.625</v>
      </c>
    </row>
    <row r="72" spans="14:38" ht="64" x14ac:dyDescent="0.2">
      <c r="Z72" s="148"/>
      <c r="AA72" s="4" t="str">
        <f t="shared" si="41"/>
        <v>H</v>
      </c>
      <c r="AB72" s="1" t="s">
        <v>343</v>
      </c>
      <c r="AC72" s="1" t="s">
        <v>344</v>
      </c>
      <c r="AD72" s="1" t="s">
        <v>345</v>
      </c>
      <c r="AE72" s="1" t="s">
        <v>346</v>
      </c>
      <c r="AF72" s="1" t="s">
        <v>347</v>
      </c>
      <c r="AG72" s="1" t="s">
        <v>348</v>
      </c>
      <c r="AH72" s="1" t="s">
        <v>343</v>
      </c>
      <c r="AI72" s="1" t="s">
        <v>349</v>
      </c>
      <c r="AJ72" s="1" t="s">
        <v>350</v>
      </c>
      <c r="AK72" s="7">
        <v>0</v>
      </c>
      <c r="AL72" s="7">
        <v>0</v>
      </c>
    </row>
  </sheetData>
  <mergeCells count="3">
    <mergeCell ref="Q24:R24"/>
    <mergeCell ref="AK63:AL63"/>
    <mergeCell ref="Z65:Z7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37A1-832A-854C-A4C2-96B3AB6F15EA}">
  <dimension ref="A2:AM73"/>
  <sheetViews>
    <sheetView showZeros="0" workbookViewId="0">
      <selection activeCell="Y66" sqref="Y66:Y69"/>
    </sheetView>
  </sheetViews>
  <sheetFormatPr baseColWidth="10" defaultColWidth="8.83203125" defaultRowHeight="15" x14ac:dyDescent="0.2"/>
  <cols>
    <col min="1" max="1" width="24" style="6" customWidth="1"/>
    <col min="2" max="2" width="16.83203125" style="6" customWidth="1"/>
    <col min="3" max="3" width="17.33203125" style="6" customWidth="1"/>
    <col min="4" max="4" width="7.33203125" style="6" customWidth="1"/>
    <col min="5" max="24" width="8.83203125" style="6"/>
    <col min="25" max="25" width="11" style="6" customWidth="1"/>
    <col min="26" max="26" width="8.83203125" style="6"/>
    <col min="27" max="27" width="13.6640625" style="6" customWidth="1"/>
    <col min="28" max="28" width="8.83203125" style="6"/>
    <col min="29" max="29" width="14.33203125" style="6" customWidth="1"/>
    <col min="30" max="30" width="15.83203125" style="6" customWidth="1"/>
    <col min="31" max="31" width="14.5" style="6" customWidth="1"/>
    <col min="32" max="33" width="12.5" style="6" customWidth="1"/>
    <col min="34" max="34" width="13.6640625" style="6" customWidth="1"/>
    <col min="35" max="35" width="12.83203125" style="6" customWidth="1"/>
    <col min="36" max="36" width="12" style="6" customWidth="1"/>
    <col min="37" max="16384" width="8.83203125" style="6"/>
  </cols>
  <sheetData>
    <row r="2" spans="1:39" ht="16" x14ac:dyDescent="0.2">
      <c r="A2" s="5" t="str">
        <f>'VSV eGFP 171013 '!A2</f>
        <v>Bolded = raw data</v>
      </c>
      <c r="Z2" t="s">
        <v>2</v>
      </c>
      <c r="AA2"/>
      <c r="AB2"/>
      <c r="AC2"/>
      <c r="AD2" t="s">
        <v>3</v>
      </c>
      <c r="AE2"/>
      <c r="AF2"/>
      <c r="AG2"/>
      <c r="AH2"/>
      <c r="AI2"/>
      <c r="AJ2"/>
      <c r="AK2"/>
      <c r="AL2"/>
      <c r="AM2"/>
    </row>
    <row r="3" spans="1:39" ht="32" x14ac:dyDescent="0.2">
      <c r="A3" s="5" t="str">
        <f>'VSV eGFP 171013 '!A3</f>
        <v>4 separate samples, 2x replicate s from each for ELISA</v>
      </c>
      <c r="Z3" t="s">
        <v>4</v>
      </c>
      <c r="AA3"/>
      <c r="AB3"/>
      <c r="AC3"/>
      <c r="AD3" t="s">
        <v>5</v>
      </c>
      <c r="AE3"/>
      <c r="AF3"/>
      <c r="AG3"/>
      <c r="AH3"/>
      <c r="AI3"/>
      <c r="AJ3"/>
      <c r="AK3"/>
      <c r="AL3"/>
      <c r="AM3"/>
    </row>
    <row r="4" spans="1:39" ht="16" x14ac:dyDescent="0.2">
      <c r="A4" s="5" t="str">
        <f>'VSV eGFP 171013 '!A4</f>
        <v>Cell type</v>
      </c>
      <c r="B4" s="15" t="s">
        <v>54</v>
      </c>
      <c r="C4" s="5">
        <f>'VSV eGFP 171013 '!C4</f>
        <v>0</v>
      </c>
      <c r="V4" s="3" t="s">
        <v>63</v>
      </c>
      <c r="W4" s="3" t="s">
        <v>64</v>
      </c>
      <c r="X4" s="3" t="s">
        <v>65</v>
      </c>
      <c r="Z4" t="s">
        <v>6</v>
      </c>
      <c r="AA4"/>
      <c r="AB4"/>
      <c r="AC4"/>
      <c r="AD4" t="s">
        <v>7</v>
      </c>
      <c r="AE4"/>
      <c r="AF4"/>
      <c r="AG4"/>
      <c r="AH4"/>
      <c r="AI4"/>
      <c r="AJ4"/>
      <c r="AK4"/>
      <c r="AL4"/>
      <c r="AM4"/>
    </row>
    <row r="5" spans="1:39" ht="32" x14ac:dyDescent="0.2">
      <c r="A5" s="5" t="str">
        <f>'VSV eGFP 171013 '!A5</f>
        <v>Stimulation -</v>
      </c>
      <c r="C5" s="5">
        <f>'VSV eGFP 171013 '!C5</f>
        <v>0</v>
      </c>
      <c r="D5" s="6" t="s">
        <v>48</v>
      </c>
      <c r="E5" s="74" t="s">
        <v>181</v>
      </c>
      <c r="F5" s="74" t="s">
        <v>179</v>
      </c>
      <c r="G5" s="74" t="s">
        <v>179</v>
      </c>
      <c r="H5" s="74" t="s">
        <v>179</v>
      </c>
      <c r="I5" s="74" t="s">
        <v>179</v>
      </c>
      <c r="J5" s="74" t="s">
        <v>179</v>
      </c>
      <c r="K5" s="74" t="s">
        <v>179</v>
      </c>
      <c r="L5" s="74" t="s">
        <v>179</v>
      </c>
      <c r="M5" s="74" t="s">
        <v>179</v>
      </c>
      <c r="N5" s="74" t="s">
        <v>180</v>
      </c>
      <c r="Q5" s="6">
        <v>1.7440999746322632</v>
      </c>
      <c r="R5" s="6">
        <v>1.7222000360488892</v>
      </c>
      <c r="S5" s="6">
        <f t="shared" ref="S5:S13" si="0">AVERAGE(Q5:R5)</f>
        <v>1.7331500053405762</v>
      </c>
      <c r="T5" s="3">
        <f>S5-$S$13</f>
        <v>1.6809000056236982</v>
      </c>
      <c r="U5" s="3">
        <v>1000</v>
      </c>
      <c r="V5" s="6">
        <f>S13</f>
        <v>5.2249999716877937E-2</v>
      </c>
      <c r="W5" s="6">
        <v>612.69000000000005</v>
      </c>
      <c r="X5" s="6">
        <v>0.99450000000000005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6" x14ac:dyDescent="0.2">
      <c r="A6" s="5" t="str">
        <f>'VSV eGFP 171013 '!A6</f>
        <v xml:space="preserve">CXCL10 ELISA date </v>
      </c>
      <c r="B6" s="6" t="s">
        <v>275</v>
      </c>
      <c r="C6" s="5">
        <f>'VSV eGFP 171013 '!C6</f>
        <v>0</v>
      </c>
      <c r="G6" s="3" t="s">
        <v>56</v>
      </c>
      <c r="H6" s="3" t="s">
        <v>57</v>
      </c>
      <c r="I6" s="3" t="s">
        <v>58</v>
      </c>
      <c r="J6" s="3" t="s">
        <v>59</v>
      </c>
      <c r="K6" s="3" t="s">
        <v>59</v>
      </c>
      <c r="L6" s="3" t="s">
        <v>59</v>
      </c>
      <c r="M6" s="3" t="s">
        <v>59</v>
      </c>
      <c r="N6" s="3" t="s">
        <v>1</v>
      </c>
      <c r="Q6" s="6">
        <v>0.77069997787475586</v>
      </c>
      <c r="R6" s="6">
        <v>0.81540000438690186</v>
      </c>
      <c r="S6" s="6">
        <f t="shared" si="0"/>
        <v>0.79304999113082886</v>
      </c>
      <c r="T6" s="3">
        <f>S6-$S$13</f>
        <v>0.74079999141395092</v>
      </c>
      <c r="U6" s="3">
        <v>500</v>
      </c>
      <c r="Z6" t="s">
        <v>52</v>
      </c>
      <c r="AA6" s="93">
        <v>43104</v>
      </c>
      <c r="AB6"/>
      <c r="AC6"/>
      <c r="AD6"/>
      <c r="AE6"/>
      <c r="AF6"/>
      <c r="AG6"/>
      <c r="AH6"/>
      <c r="AI6"/>
      <c r="AJ6"/>
      <c r="AK6"/>
      <c r="AL6"/>
      <c r="AM6"/>
    </row>
    <row r="7" spans="1:39" ht="16" x14ac:dyDescent="0.2">
      <c r="A7" s="5"/>
      <c r="C7" s="5"/>
      <c r="G7" s="3"/>
      <c r="H7" s="3"/>
      <c r="I7" s="3"/>
      <c r="J7" s="3"/>
      <c r="K7" s="3" t="s">
        <v>60</v>
      </c>
      <c r="L7" s="3" t="s">
        <v>61</v>
      </c>
      <c r="M7" s="3" t="s">
        <v>62</v>
      </c>
      <c r="N7" s="3"/>
      <c r="T7" s="3"/>
      <c r="U7" s="3"/>
      <c r="Z7" t="s">
        <v>53</v>
      </c>
      <c r="AA7" s="94">
        <v>0.77047453703703705</v>
      </c>
      <c r="AB7"/>
      <c r="AC7"/>
      <c r="AD7"/>
      <c r="AE7"/>
      <c r="AF7"/>
      <c r="AG7"/>
      <c r="AH7"/>
      <c r="AI7"/>
      <c r="AJ7"/>
      <c r="AK7"/>
      <c r="AL7"/>
      <c r="AM7"/>
    </row>
    <row r="8" spans="1:39" ht="32" x14ac:dyDescent="0.2">
      <c r="A8" s="5" t="str">
        <f>'VSV eGFP 171013 '!A8</f>
        <v>DILUTION for elisa</v>
      </c>
      <c r="B8" s="3"/>
      <c r="C8" s="5" t="str">
        <f>'VSV eGFP 171013 '!C8</f>
        <v>Nil (except 1.1 for NP40 - see below)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Q8" s="6">
        <v>0.42289999127388</v>
      </c>
      <c r="R8" s="6">
        <v>0.38949999213218689</v>
      </c>
      <c r="S8" s="6">
        <f t="shared" si="0"/>
        <v>0.40619999170303345</v>
      </c>
      <c r="T8" s="3">
        <f t="shared" ref="T8:T13" si="1">S8-$S$13</f>
        <v>0.35394999198615551</v>
      </c>
      <c r="U8" s="3">
        <v>250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6" x14ac:dyDescent="0.2">
      <c r="A9" s="5">
        <f>'VSV eGFP 171013 '!A9</f>
        <v>0</v>
      </c>
      <c r="B9" s="3"/>
      <c r="C9" s="5" t="str">
        <f>'VSV eGFP 171013 '!C9</f>
        <v>#1-1</v>
      </c>
      <c r="D9" s="16"/>
      <c r="E9" s="3">
        <v>4.6199999749660492E-2</v>
      </c>
      <c r="F9" s="3">
        <v>0.41299998760223389</v>
      </c>
      <c r="G9" s="3">
        <v>1.3336999416351318</v>
      </c>
      <c r="H9" s="3">
        <v>1.5601999759674072</v>
      </c>
      <c r="I9" s="3">
        <v>2.3148999214172363</v>
      </c>
      <c r="J9" s="3">
        <v>2.1017999649047852</v>
      </c>
      <c r="K9" s="3">
        <v>2.3083999156951904</v>
      </c>
      <c r="L9" s="17">
        <v>1.8676999807357788</v>
      </c>
      <c r="M9" s="3">
        <v>1.9974000453948975</v>
      </c>
      <c r="N9" s="3">
        <v>4.3699998408555984E-2</v>
      </c>
      <c r="Q9" s="6">
        <v>0.23819999396800995</v>
      </c>
      <c r="R9" s="6">
        <v>0.21850000321865082</v>
      </c>
      <c r="S9" s="6">
        <f t="shared" si="0"/>
        <v>0.22834999859333038</v>
      </c>
      <c r="T9" s="3">
        <f t="shared" si="1"/>
        <v>0.17609999887645245</v>
      </c>
      <c r="U9" s="3">
        <v>125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6" x14ac:dyDescent="0.2">
      <c r="A10" s="5">
        <f>'VSV eGFP 171013 '!A10</f>
        <v>0</v>
      </c>
      <c r="B10" s="3"/>
      <c r="C10" s="5" t="str">
        <f>'VSV eGFP 171013 '!C10</f>
        <v>#1-2</v>
      </c>
      <c r="D10" s="16"/>
      <c r="E10" s="3">
        <v>4.1099999099969864E-2</v>
      </c>
      <c r="F10" s="3">
        <v>0.41899999976158142</v>
      </c>
      <c r="G10" s="3">
        <v>1.375499963760376</v>
      </c>
      <c r="H10" s="3">
        <v>1.6282999515533447</v>
      </c>
      <c r="I10" s="3">
        <v>2.2651998996734619</v>
      </c>
      <c r="J10" s="3">
        <v>2.0773999691009521</v>
      </c>
      <c r="K10" s="3">
        <v>2.3447999954223633</v>
      </c>
      <c r="L10" s="17">
        <v>1.8624999523162842</v>
      </c>
      <c r="M10" s="3">
        <v>1.9049999713897705</v>
      </c>
      <c r="N10" s="3">
        <v>4.5000001788139343E-2</v>
      </c>
      <c r="Q10" s="6">
        <v>0.13429999351501465</v>
      </c>
      <c r="R10" s="6">
        <v>0.13770000636577606</v>
      </c>
      <c r="S10" s="6">
        <f t="shared" si="0"/>
        <v>0.13599999994039536</v>
      </c>
      <c r="T10" s="3">
        <f t="shared" si="1"/>
        <v>8.3750000223517418E-2</v>
      </c>
      <c r="U10" s="3">
        <v>62.5</v>
      </c>
      <c r="Z10" t="s">
        <v>10</v>
      </c>
      <c r="AA10"/>
      <c r="AB10"/>
      <c r="AC10"/>
      <c r="AD10" t="s">
        <v>11</v>
      </c>
      <c r="AE10"/>
      <c r="AF10"/>
      <c r="AG10"/>
      <c r="AH10"/>
      <c r="AI10"/>
      <c r="AJ10"/>
      <c r="AK10"/>
      <c r="AL10"/>
      <c r="AM10"/>
    </row>
    <row r="11" spans="1:39" ht="16" x14ac:dyDescent="0.2">
      <c r="A11" s="5">
        <f>'VSV eGFP 171013 '!A11</f>
        <v>0</v>
      </c>
      <c r="B11" s="3"/>
      <c r="C11" s="5" t="str">
        <f>'VSV eGFP 171013 '!C11</f>
        <v>Average</v>
      </c>
      <c r="D11" s="3">
        <f>V5</f>
        <v>5.2249999716877937E-2</v>
      </c>
      <c r="E11" s="58">
        <f t="shared" ref="E11:L11" si="2">AVERAGE(E9:E10)</f>
        <v>4.3649999424815178E-2</v>
      </c>
      <c r="F11" s="58">
        <f t="shared" si="2"/>
        <v>0.41599999368190765</v>
      </c>
      <c r="G11" s="58">
        <f t="shared" si="2"/>
        <v>1.3545999526977539</v>
      </c>
      <c r="H11" s="58">
        <f t="shared" si="2"/>
        <v>1.594249963760376</v>
      </c>
      <c r="I11" s="58">
        <f t="shared" si="2"/>
        <v>2.2900499105453491</v>
      </c>
      <c r="J11" s="58">
        <f t="shared" si="2"/>
        <v>2.0895999670028687</v>
      </c>
      <c r="K11" s="58">
        <f t="shared" si="2"/>
        <v>2.3265999555587769</v>
      </c>
      <c r="L11" s="58">
        <f t="shared" si="2"/>
        <v>1.8650999665260315</v>
      </c>
      <c r="M11" s="58">
        <f>AVERAGE(M9:M10)</f>
        <v>1.951200008392334</v>
      </c>
      <c r="N11" s="58">
        <f>AVERAGE(N9:N10)</f>
        <v>4.4350000098347664E-2</v>
      </c>
      <c r="Q11" s="6">
        <v>9.08999964594841E-2</v>
      </c>
      <c r="R11" s="6">
        <v>9.2100001871585846E-2</v>
      </c>
      <c r="S11" s="6">
        <f t="shared" si="0"/>
        <v>9.1499999165534973E-2</v>
      </c>
      <c r="T11" s="3">
        <f t="shared" si="1"/>
        <v>3.9249999448657036E-2</v>
      </c>
      <c r="U11" s="3">
        <v>31.25</v>
      </c>
      <c r="Z11" t="s">
        <v>14</v>
      </c>
      <c r="AA11"/>
      <c r="AB11"/>
      <c r="AC11"/>
      <c r="AD11" t="s">
        <v>15</v>
      </c>
      <c r="AE11"/>
      <c r="AF11"/>
      <c r="AG11"/>
      <c r="AH11"/>
      <c r="AI11"/>
      <c r="AJ11"/>
      <c r="AK11"/>
      <c r="AL11"/>
      <c r="AM11"/>
    </row>
    <row r="12" spans="1:39" ht="48" x14ac:dyDescent="0.2">
      <c r="A12" s="5" t="str">
        <f>'VSV eGFP 171013 '!A12</f>
        <v>Background minimal and at times &gt;mock, therefore values used as is, given transformation to fold change</v>
      </c>
      <c r="B12" s="3"/>
      <c r="C12" s="5" t="str">
        <f>'VSV eGFP 171013 '!C12</f>
        <v>Average-Background</v>
      </c>
      <c r="D12" s="3"/>
      <c r="E12" s="58">
        <f t="shared" ref="E12:N12" si="3">E11-$S$13</f>
        <v>-8.6000002920627594E-3</v>
      </c>
      <c r="F12" s="58">
        <f t="shared" si="3"/>
        <v>0.36374999396502972</v>
      </c>
      <c r="G12" s="58">
        <f t="shared" si="3"/>
        <v>1.302349952980876</v>
      </c>
      <c r="H12" s="58">
        <f t="shared" si="3"/>
        <v>1.541999964043498</v>
      </c>
      <c r="I12" s="58">
        <f t="shared" si="3"/>
        <v>2.2377999108284712</v>
      </c>
      <c r="J12" s="58">
        <f t="shared" si="3"/>
        <v>2.0373499672859907</v>
      </c>
      <c r="K12" s="58">
        <f t="shared" si="3"/>
        <v>2.2743499558418989</v>
      </c>
      <c r="L12" s="58">
        <f t="shared" si="3"/>
        <v>1.8128499668091536</v>
      </c>
      <c r="M12" s="58">
        <f t="shared" si="3"/>
        <v>1.898950008675456</v>
      </c>
      <c r="N12" s="58">
        <f t="shared" si="3"/>
        <v>-7.8999996185302734E-3</v>
      </c>
      <c r="Q12" s="6">
        <v>7.0900000631809235E-2</v>
      </c>
      <c r="R12" s="6">
        <v>6.9300003349781036E-2</v>
      </c>
      <c r="S12" s="6">
        <f t="shared" si="0"/>
        <v>7.0100001990795135E-2</v>
      </c>
      <c r="T12" s="3">
        <f t="shared" si="1"/>
        <v>1.7850002273917198E-2</v>
      </c>
      <c r="U12" s="3">
        <v>15.625</v>
      </c>
      <c r="Z12" t="s">
        <v>17</v>
      </c>
      <c r="AA12"/>
      <c r="AB12"/>
      <c r="AC12"/>
      <c r="AD12" t="s">
        <v>191</v>
      </c>
      <c r="AE12"/>
      <c r="AF12"/>
      <c r="AG12"/>
      <c r="AH12"/>
      <c r="AI12"/>
      <c r="AJ12"/>
      <c r="AK12"/>
      <c r="AL12"/>
      <c r="AM12"/>
    </row>
    <row r="13" spans="1:39" ht="16" x14ac:dyDescent="0.2">
      <c r="A13" s="5" t="str">
        <f>'VSV eGFP 171013 '!A13</f>
        <v>Therefore overall</v>
      </c>
      <c r="C13" s="5" t="str">
        <f>'VSV eGFP 171013 '!C13</f>
        <v>Conc</v>
      </c>
      <c r="D13" s="62">
        <f>D11*612.69</f>
        <v>32.013052326533945</v>
      </c>
      <c r="E13" s="61">
        <f>E11*612.69</f>
        <v>26.743918147590012</v>
      </c>
      <c r="F13" s="61">
        <f t="shared" ref="F13:N13" si="4">F11*612.69</f>
        <v>254.87903612896801</v>
      </c>
      <c r="G13" s="61">
        <f t="shared" si="4"/>
        <v>829.9498450183869</v>
      </c>
      <c r="H13" s="61">
        <f t="shared" si="4"/>
        <v>976.78101029634479</v>
      </c>
      <c r="I13" s="61">
        <f t="shared" si="4"/>
        <v>1403.0906796920301</v>
      </c>
      <c r="J13" s="61">
        <f t="shared" si="4"/>
        <v>1280.2770037829878</v>
      </c>
      <c r="K13" s="61">
        <f t="shared" si="4"/>
        <v>1425.4845267713072</v>
      </c>
      <c r="L13" s="61">
        <f t="shared" si="4"/>
        <v>1142.7280984908343</v>
      </c>
      <c r="M13" s="61">
        <f t="shared" si="4"/>
        <v>1195.4807331418992</v>
      </c>
      <c r="N13" s="61">
        <f t="shared" si="4"/>
        <v>27.172801560256634</v>
      </c>
      <c r="Q13" s="6">
        <v>5.1100000739097595E-2</v>
      </c>
      <c r="R13" s="6">
        <v>5.3399998694658279E-2</v>
      </c>
      <c r="S13" s="17">
        <f t="shared" si="0"/>
        <v>5.2249999716877937E-2</v>
      </c>
      <c r="T13" s="3">
        <f t="shared" si="1"/>
        <v>0</v>
      </c>
      <c r="U13" s="3">
        <v>0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6" x14ac:dyDescent="0.2">
      <c r="A14" s="5">
        <f>'VSV eGFP 171013 '!A14</f>
        <v>0</v>
      </c>
      <c r="C14" s="5">
        <f>'VSV eGFP 171013 '!C14</f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Z14" t="s">
        <v>276</v>
      </c>
      <c r="AA14"/>
      <c r="AB14"/>
      <c r="AC14"/>
      <c r="AD14">
        <v>1</v>
      </c>
      <c r="AE14" t="s">
        <v>277</v>
      </c>
      <c r="AF14"/>
      <c r="AG14"/>
      <c r="AH14"/>
      <c r="AI14"/>
      <c r="AJ14"/>
      <c r="AK14"/>
      <c r="AL14"/>
      <c r="AM14"/>
    </row>
    <row r="15" spans="1:39" ht="16" x14ac:dyDescent="0.2">
      <c r="A15" s="5">
        <f>'VSV eGFP 171013 '!A15</f>
        <v>0</v>
      </c>
      <c r="B15" s="3"/>
      <c r="C15" s="5">
        <f>'VSV eGFP 171013 '!C15</f>
        <v>0</v>
      </c>
      <c r="D15" s="3"/>
      <c r="E15" s="58"/>
      <c r="F15" s="58"/>
      <c r="G15" s="58"/>
      <c r="H15" s="58"/>
      <c r="I15" s="58"/>
      <c r="J15" s="58"/>
      <c r="K15" s="58"/>
      <c r="L15" s="58"/>
      <c r="M15" s="58"/>
      <c r="N15" s="58"/>
      <c r="Z15" t="s">
        <v>278</v>
      </c>
      <c r="AA15"/>
      <c r="AB15"/>
      <c r="AC15"/>
      <c r="AD15">
        <v>1</v>
      </c>
      <c r="AE15" t="s">
        <v>279</v>
      </c>
      <c r="AF15"/>
      <c r="AG15"/>
      <c r="AH15"/>
      <c r="AI15"/>
      <c r="AJ15"/>
      <c r="AK15"/>
      <c r="AL15"/>
      <c r="AM15"/>
    </row>
    <row r="16" spans="1:39" ht="16" x14ac:dyDescent="0.2">
      <c r="A16" s="5">
        <f>'VSV eGFP 171013 '!A16</f>
        <v>0</v>
      </c>
      <c r="B16" s="3"/>
      <c r="C16" s="5" t="str">
        <f>'VSV eGFP 171013 '!C16</f>
        <v>#2-1</v>
      </c>
      <c r="D16" s="3"/>
      <c r="E16" s="60">
        <v>4.2399998754262924E-2</v>
      </c>
      <c r="F16" s="60">
        <v>0.4237000048160553</v>
      </c>
      <c r="G16" s="60">
        <v>1.3214000463485718</v>
      </c>
      <c r="H16" s="60">
        <v>1.7172000408172607</v>
      </c>
      <c r="I16" s="60">
        <v>1.945099949836731</v>
      </c>
      <c r="J16" s="60">
        <v>2.2834000587463379</v>
      </c>
      <c r="K16" s="60">
        <v>1.4658999443054199</v>
      </c>
      <c r="L16" s="60">
        <v>0.72790002822875977</v>
      </c>
      <c r="M16" s="60">
        <v>2.1791000366210938</v>
      </c>
      <c r="N16" s="60">
        <v>4.0800001472234726E-2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6" x14ac:dyDescent="0.2">
      <c r="A17" s="5">
        <f>'VSV eGFP 171013 '!A17</f>
        <v>0</v>
      </c>
      <c r="B17" s="3"/>
      <c r="C17" s="5" t="str">
        <f>'VSV eGFP 171013 '!C17</f>
        <v>#2-2</v>
      </c>
      <c r="D17" s="16"/>
      <c r="E17" s="60">
        <v>4.179999977350235E-2</v>
      </c>
      <c r="F17" s="60">
        <v>0.47769999504089355</v>
      </c>
      <c r="G17" s="60">
        <v>1.2970000505447388</v>
      </c>
      <c r="H17" s="60">
        <v>1.7591999769210815</v>
      </c>
      <c r="I17" s="60">
        <v>1.9287999868392944</v>
      </c>
      <c r="J17" s="60">
        <v>2.3631999492645264</v>
      </c>
      <c r="K17" s="60">
        <v>1.5234999656677246</v>
      </c>
      <c r="L17" s="60">
        <v>0.73890000581741333</v>
      </c>
      <c r="M17" s="60">
        <v>2.2044000625610352</v>
      </c>
      <c r="N17" s="60">
        <v>4.14000004529953E-2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6" x14ac:dyDescent="0.2">
      <c r="A18" s="5">
        <f>'VSV eGFP 171013 '!A18</f>
        <v>0</v>
      </c>
      <c r="B18" s="3"/>
      <c r="C18" s="5" t="str">
        <f>'VSV eGFP 171013 '!C18</f>
        <v>Average</v>
      </c>
      <c r="D18" s="16"/>
      <c r="E18" s="58">
        <f t="shared" ref="E18:L18" si="5">AVERAGE(E16:E17)</f>
        <v>4.2099999263882637E-2</v>
      </c>
      <c r="F18" s="58">
        <f t="shared" si="5"/>
        <v>0.45069999992847443</v>
      </c>
      <c r="G18" s="58">
        <f t="shared" si="5"/>
        <v>1.3092000484466553</v>
      </c>
      <c r="H18" s="58">
        <f t="shared" si="5"/>
        <v>1.7382000088691711</v>
      </c>
      <c r="I18" s="58">
        <f t="shared" si="5"/>
        <v>1.9369499683380127</v>
      </c>
      <c r="J18" s="58">
        <f t="shared" si="5"/>
        <v>2.3233000040054321</v>
      </c>
      <c r="K18" s="58">
        <f t="shared" si="5"/>
        <v>1.4946999549865723</v>
      </c>
      <c r="L18" s="58">
        <f t="shared" si="5"/>
        <v>0.73340001702308655</v>
      </c>
      <c r="M18" s="58">
        <f>AVERAGE(M16:M17)</f>
        <v>2.1917500495910645</v>
      </c>
      <c r="N18" s="58">
        <f>AVERAGE(N16:N17)</f>
        <v>4.1100000962615013E-2</v>
      </c>
      <c r="Z18" t="s">
        <v>192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6" x14ac:dyDescent="0.2">
      <c r="A19" s="5">
        <f>'VSV eGFP 171013 '!A19</f>
        <v>0</v>
      </c>
      <c r="C19" s="5" t="str">
        <f>'VSV eGFP 171013 '!C19</f>
        <v>Average-Background</v>
      </c>
      <c r="D19" s="3"/>
      <c r="E19" s="58">
        <f t="shared" ref="E19:N19" si="6">E18-$S$13</f>
        <v>-1.01500004529953E-2</v>
      </c>
      <c r="F19" s="58">
        <f t="shared" si="6"/>
        <v>0.39845000021159649</v>
      </c>
      <c r="G19" s="58">
        <f t="shared" si="6"/>
        <v>1.2569500487297773</v>
      </c>
      <c r="H19" s="58">
        <f t="shared" si="6"/>
        <v>1.6859500091522932</v>
      </c>
      <c r="I19" s="58">
        <f t="shared" si="6"/>
        <v>1.8846999686211348</v>
      </c>
      <c r="J19" s="58">
        <f t="shared" si="6"/>
        <v>2.2710500042885542</v>
      </c>
      <c r="K19" s="58">
        <f t="shared" si="6"/>
        <v>1.4424499552696943</v>
      </c>
      <c r="L19" s="58">
        <f t="shared" si="6"/>
        <v>0.68115001730620861</v>
      </c>
      <c r="M19" s="58">
        <f t="shared" si="6"/>
        <v>2.1395000498741865</v>
      </c>
      <c r="N19" s="58">
        <f t="shared" si="6"/>
        <v>-1.1149998754262924E-2</v>
      </c>
      <c r="Z19" t="s">
        <v>21</v>
      </c>
      <c r="AA19"/>
      <c r="AB19"/>
      <c r="AC19"/>
      <c r="AD19" t="s">
        <v>22</v>
      </c>
      <c r="AE19"/>
      <c r="AF19"/>
      <c r="AG19"/>
      <c r="AH19"/>
      <c r="AI19"/>
      <c r="AJ19"/>
      <c r="AK19"/>
      <c r="AL19"/>
      <c r="AM19"/>
    </row>
    <row r="20" spans="1:39" ht="16" x14ac:dyDescent="0.2">
      <c r="A20" s="5">
        <f>'VSV eGFP 171013 '!A20</f>
        <v>0</v>
      </c>
      <c r="C20" s="5" t="str">
        <f>'VSV eGFP 171013 '!C20</f>
        <v>Conc</v>
      </c>
      <c r="D20" s="62"/>
      <c r="E20" s="61">
        <f>E18*612.69</f>
        <v>25.794248548988254</v>
      </c>
      <c r="F20" s="61">
        <f t="shared" ref="F20:N20" si="7">F18*612.69</f>
        <v>276.13938295617703</v>
      </c>
      <c r="G20" s="61">
        <f t="shared" si="7"/>
        <v>802.13377768278133</v>
      </c>
      <c r="H20" s="61">
        <f t="shared" si="7"/>
        <v>1064.9777634340526</v>
      </c>
      <c r="I20" s="61">
        <f t="shared" si="7"/>
        <v>1186.7498761010172</v>
      </c>
      <c r="J20" s="61">
        <f t="shared" si="7"/>
        <v>1423.4626794540884</v>
      </c>
      <c r="K20" s="61">
        <f t="shared" si="7"/>
        <v>915.78771542072309</v>
      </c>
      <c r="L20" s="61">
        <f t="shared" si="7"/>
        <v>449.34685642987495</v>
      </c>
      <c r="M20" s="61">
        <f t="shared" si="7"/>
        <v>1342.8633378839495</v>
      </c>
      <c r="N20" s="61">
        <f t="shared" si="7"/>
        <v>25.181559589784595</v>
      </c>
      <c r="Z20" t="s">
        <v>23</v>
      </c>
      <c r="AA20"/>
      <c r="AB20"/>
      <c r="AC20"/>
      <c r="AD20">
        <v>450</v>
      </c>
      <c r="AE20" t="s">
        <v>24</v>
      </c>
      <c r="AF20"/>
      <c r="AG20"/>
      <c r="AH20"/>
      <c r="AI20"/>
      <c r="AJ20"/>
      <c r="AK20"/>
      <c r="AL20"/>
      <c r="AM20"/>
    </row>
    <row r="21" spans="1:39" ht="16" x14ac:dyDescent="0.2">
      <c r="A21" s="5">
        <f>'VSV eGFP 171013 '!A21</f>
        <v>0</v>
      </c>
      <c r="C21" s="5">
        <f>'VSV eGFP 171013 '!C21</f>
        <v>0</v>
      </c>
      <c r="D21" s="3"/>
      <c r="Z21" t="s">
        <v>25</v>
      </c>
      <c r="AA21"/>
      <c r="AB21"/>
      <c r="AC21"/>
      <c r="AD21">
        <v>10</v>
      </c>
      <c r="AE21" t="s">
        <v>24</v>
      </c>
      <c r="AF21"/>
      <c r="AG21"/>
      <c r="AH21"/>
      <c r="AI21"/>
      <c r="AJ21"/>
      <c r="AK21"/>
      <c r="AL21"/>
      <c r="AM21"/>
    </row>
    <row r="22" spans="1:39" ht="16" x14ac:dyDescent="0.2">
      <c r="A22" s="5">
        <f>'VSV eGFP 171013 '!A22</f>
        <v>0</v>
      </c>
      <c r="C22" s="5">
        <f>'VSV eGFP 171013 '!C22</f>
        <v>0</v>
      </c>
      <c r="D22" s="3"/>
      <c r="Z22" t="s">
        <v>26</v>
      </c>
      <c r="AA22"/>
      <c r="AB22"/>
      <c r="AC22"/>
      <c r="AD22">
        <v>570</v>
      </c>
      <c r="AE22" t="s">
        <v>24</v>
      </c>
      <c r="AF22"/>
      <c r="AG22"/>
      <c r="AH22"/>
      <c r="AI22"/>
      <c r="AJ22"/>
      <c r="AK22"/>
      <c r="AL22"/>
      <c r="AM22"/>
    </row>
    <row r="23" spans="1:39" ht="16" x14ac:dyDescent="0.2">
      <c r="A23" s="5">
        <f>'VSV eGFP 171013 '!A23</f>
        <v>0</v>
      </c>
      <c r="C23" s="5" t="str">
        <f>'VSV eGFP 171013 '!C23</f>
        <v>#3-1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Z23" t="s">
        <v>25</v>
      </c>
      <c r="AA23"/>
      <c r="AB23"/>
      <c r="AC23"/>
      <c r="AD23">
        <v>10</v>
      </c>
      <c r="AE23" t="s">
        <v>24</v>
      </c>
      <c r="AF23"/>
      <c r="AG23"/>
      <c r="AH23"/>
      <c r="AI23"/>
      <c r="AJ23"/>
      <c r="AK23"/>
      <c r="AL23"/>
      <c r="AM23"/>
    </row>
    <row r="24" spans="1:39" ht="16" x14ac:dyDescent="0.2">
      <c r="A24" s="5">
        <f>'VSV eGFP 171013 '!A24</f>
        <v>0</v>
      </c>
      <c r="C24" s="5" t="str">
        <f>'VSV eGFP 171013 '!C24</f>
        <v>#3-2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Z24" t="s">
        <v>28</v>
      </c>
      <c r="AA24"/>
      <c r="AB24"/>
      <c r="AC24"/>
      <c r="AD24">
        <v>25</v>
      </c>
      <c r="AE24"/>
      <c r="AF24"/>
      <c r="AG24"/>
      <c r="AH24"/>
      <c r="AI24"/>
      <c r="AJ24"/>
      <c r="AK24"/>
      <c r="AL24"/>
      <c r="AM24"/>
    </row>
    <row r="25" spans="1:39" ht="16" x14ac:dyDescent="0.2">
      <c r="A25" s="5">
        <f>'VSV eGFP 171013 '!A25</f>
        <v>0</v>
      </c>
      <c r="C25" s="5" t="str">
        <f>'VSV eGFP 171013 '!C25</f>
        <v>Average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Z25" t="s">
        <v>30</v>
      </c>
      <c r="AA25"/>
      <c r="AB25"/>
      <c r="AC25"/>
      <c r="AD25">
        <v>0</v>
      </c>
      <c r="AE25" t="s">
        <v>31</v>
      </c>
      <c r="AF25"/>
      <c r="AG25"/>
      <c r="AH25"/>
      <c r="AI25"/>
      <c r="AJ25"/>
      <c r="AK25"/>
      <c r="AL25"/>
      <c r="AM25"/>
    </row>
    <row r="26" spans="1:39" ht="16" x14ac:dyDescent="0.2">
      <c r="A26" s="5">
        <f>'VSV eGFP 171013 '!A26</f>
        <v>0</v>
      </c>
      <c r="C26" s="5" t="str">
        <f>'VSV eGFP 171013 '!C26</f>
        <v>Average-Background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Z26" t="s">
        <v>32</v>
      </c>
      <c r="AA26" s="95">
        <v>43104.770486111112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6" x14ac:dyDescent="0.2">
      <c r="A27" s="5">
        <f>'VSV eGFP 171013 '!A27</f>
        <v>0</v>
      </c>
      <c r="C27" s="5" t="str">
        <f>'VSV eGFP 171013 '!C27</f>
        <v>Conc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6" x14ac:dyDescent="0.2">
      <c r="A28" s="5">
        <f>'VSV eGFP 171013 '!A28</f>
        <v>0</v>
      </c>
      <c r="C28" s="5">
        <f>'VSV eGFP 171013 '!C28</f>
        <v>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Z28"/>
      <c r="AA28" t="s">
        <v>280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6" x14ac:dyDescent="0.2">
      <c r="A29" s="5">
        <f>'VSV eGFP 171013 '!A29</f>
        <v>0</v>
      </c>
      <c r="C29" s="5">
        <f>'VSV eGFP 171013 '!C29</f>
        <v>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Z29" t="s">
        <v>35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6" x14ac:dyDescent="0.2">
      <c r="A30" s="5">
        <f>'VSV eGFP 171013 '!A30</f>
        <v>0</v>
      </c>
      <c r="C30" s="5" t="str">
        <f>'VSV eGFP 171013 '!C30</f>
        <v>#4-1</v>
      </c>
      <c r="D30" s="58"/>
      <c r="E30" s="58"/>
      <c r="F30" s="60"/>
      <c r="G30" s="60"/>
      <c r="H30" s="58"/>
      <c r="I30" s="58"/>
      <c r="J30" s="58"/>
      <c r="K30" s="58"/>
      <c r="L30" s="58"/>
      <c r="M30" s="58"/>
      <c r="N30" s="60"/>
      <c r="Z30" t="s">
        <v>37</v>
      </c>
      <c r="AA30">
        <v>1</v>
      </c>
      <c r="AB30">
        <v>2</v>
      </c>
      <c r="AC30">
        <v>3</v>
      </c>
      <c r="AD30">
        <v>4</v>
      </c>
      <c r="AE30">
        <v>5</v>
      </c>
      <c r="AF30">
        <v>6</v>
      </c>
      <c r="AG30">
        <v>7</v>
      </c>
      <c r="AH30">
        <v>8</v>
      </c>
      <c r="AI30">
        <v>9</v>
      </c>
      <c r="AJ30">
        <v>10</v>
      </c>
      <c r="AK30">
        <v>11</v>
      </c>
      <c r="AL30">
        <v>12</v>
      </c>
      <c r="AM30"/>
    </row>
    <row r="31" spans="1:39" ht="16" x14ac:dyDescent="0.2">
      <c r="A31" s="5">
        <f>'VSV eGFP 171013 '!A31</f>
        <v>0</v>
      </c>
      <c r="C31" s="5" t="str">
        <f>'VSV eGFP 171013 '!C31</f>
        <v>#4-2</v>
      </c>
      <c r="D31" s="58"/>
      <c r="E31" s="58"/>
      <c r="F31" s="60"/>
      <c r="G31" s="60"/>
      <c r="H31" s="58"/>
      <c r="I31" s="58"/>
      <c r="J31" s="58"/>
      <c r="K31" s="58"/>
      <c r="L31" s="58"/>
      <c r="M31" s="58"/>
      <c r="N31" s="60"/>
      <c r="Z31" t="s">
        <v>39</v>
      </c>
      <c r="AA31">
        <v>8.5400000000000004E-2</v>
      </c>
      <c r="AB31">
        <v>0.456900001</v>
      </c>
      <c r="AC31">
        <v>1.3759000299999999</v>
      </c>
      <c r="AD31">
        <v>1.6033999919999999</v>
      </c>
      <c r="AE31">
        <v>2.361799955</v>
      </c>
      <c r="AF31">
        <v>2.1526999469999999</v>
      </c>
      <c r="AG31">
        <v>8.2599997999999994E-2</v>
      </c>
      <c r="AH31">
        <v>2.0413999559999998</v>
      </c>
      <c r="AI31">
        <v>2.353600025</v>
      </c>
      <c r="AJ31">
        <v>1.911800027</v>
      </c>
      <c r="AK31">
        <v>1.7894999979999999</v>
      </c>
      <c r="AL31">
        <v>1.767699957</v>
      </c>
      <c r="AM31"/>
    </row>
    <row r="32" spans="1:39" ht="16" x14ac:dyDescent="0.2">
      <c r="A32" s="5">
        <f>'VSV eGFP 171013 '!A32</f>
        <v>0</v>
      </c>
      <c r="C32" s="5" t="str">
        <f>'VSV eGFP 171013 '!C32</f>
        <v>Average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Z32" t="s">
        <v>40</v>
      </c>
      <c r="AA32">
        <v>8.1600003000000004E-2</v>
      </c>
      <c r="AB32">
        <v>0.45980000500000001</v>
      </c>
      <c r="AC32">
        <v>1.41869998</v>
      </c>
      <c r="AD32">
        <v>1.6736999749999999</v>
      </c>
      <c r="AE32">
        <v>2.3127999309999998</v>
      </c>
      <c r="AF32">
        <v>2.1254000660000001</v>
      </c>
      <c r="AG32">
        <v>8.7599999999999997E-2</v>
      </c>
      <c r="AH32">
        <v>1.950999975</v>
      </c>
      <c r="AI32">
        <v>2.392699957</v>
      </c>
      <c r="AJ32">
        <v>1.9077999590000001</v>
      </c>
      <c r="AK32">
        <v>0.81339997100000005</v>
      </c>
      <c r="AL32">
        <v>0.85720002699999998</v>
      </c>
      <c r="AM32"/>
    </row>
    <row r="33" spans="1:39" ht="16" x14ac:dyDescent="0.2">
      <c r="A33" s="5">
        <f>'VSV eGFP 171013 '!A33</f>
        <v>0</v>
      </c>
      <c r="C33" s="5" t="str">
        <f>'VSV eGFP 171013 '!C33</f>
        <v>Average-Background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Z33" t="s">
        <v>41</v>
      </c>
      <c r="AA33">
        <v>8.1100002000000004E-2</v>
      </c>
      <c r="AB33">
        <v>0.46270000900000002</v>
      </c>
      <c r="AC33">
        <v>1.3638999460000001</v>
      </c>
      <c r="AD33">
        <v>1.761800051</v>
      </c>
      <c r="AE33">
        <v>1.9910000560000001</v>
      </c>
      <c r="AF33">
        <v>2.3306999209999999</v>
      </c>
      <c r="AG33">
        <v>7.9999998000000003E-2</v>
      </c>
      <c r="AH33">
        <v>2.2251999379999998</v>
      </c>
      <c r="AI33">
        <v>1.5090999599999999</v>
      </c>
      <c r="AJ33">
        <v>0.76829999699999996</v>
      </c>
      <c r="AK33">
        <v>0.46250000600000002</v>
      </c>
      <c r="AL33">
        <v>0.430400014</v>
      </c>
      <c r="AM33"/>
    </row>
    <row r="34" spans="1:39" ht="16" x14ac:dyDescent="0.2">
      <c r="A34" s="5">
        <f>'VSV eGFP 171013 '!A34</f>
        <v>0</v>
      </c>
      <c r="C34" s="5" t="str">
        <f>'VSV eGFP 171013 '!C34</f>
        <v>Conc</v>
      </c>
      <c r="Z34" t="s">
        <v>42</v>
      </c>
      <c r="AA34">
        <v>8.0799996999999998E-2</v>
      </c>
      <c r="AB34">
        <v>0.51740002600000001</v>
      </c>
      <c r="AC34">
        <v>1.33949995</v>
      </c>
      <c r="AD34">
        <v>1.80309999</v>
      </c>
      <c r="AE34">
        <v>1.97329998</v>
      </c>
      <c r="AF34">
        <v>2.4098999499999998</v>
      </c>
      <c r="AG34">
        <v>7.9599999000000005E-2</v>
      </c>
      <c r="AH34">
        <v>2.2502999309999998</v>
      </c>
      <c r="AI34">
        <v>1.566200018</v>
      </c>
      <c r="AJ34">
        <v>0.78490000999999998</v>
      </c>
      <c r="AK34">
        <v>0.27930000399999999</v>
      </c>
      <c r="AL34">
        <v>0.25909999</v>
      </c>
      <c r="AM34"/>
    </row>
    <row r="35" spans="1:39" ht="16" x14ac:dyDescent="0.2">
      <c r="A35" s="5">
        <f>'VSV eGFP 171013 '!A35</f>
        <v>0</v>
      </c>
      <c r="C35" s="5">
        <f>'VSV eGFP 171013 '!C35</f>
        <v>0</v>
      </c>
      <c r="Z35" t="s">
        <v>43</v>
      </c>
      <c r="AA35">
        <v>8.6699999999999999E-2</v>
      </c>
      <c r="AB35">
        <v>0.69330000899999999</v>
      </c>
      <c r="AC35">
        <v>2.704799891</v>
      </c>
      <c r="AD35" t="s">
        <v>13</v>
      </c>
      <c r="AE35" t="s">
        <v>13</v>
      </c>
      <c r="AF35" t="s">
        <v>13</v>
      </c>
      <c r="AG35">
        <v>8.5500002000000005E-2</v>
      </c>
      <c r="AH35">
        <v>3.9514000419999999</v>
      </c>
      <c r="AI35">
        <v>3.4784998890000001</v>
      </c>
      <c r="AJ35">
        <v>1.8420000080000001</v>
      </c>
      <c r="AK35">
        <v>0.17380000700000001</v>
      </c>
      <c r="AL35">
        <v>0.176400006</v>
      </c>
      <c r="AM35"/>
    </row>
    <row r="36" spans="1:39" ht="16" x14ac:dyDescent="0.2">
      <c r="A36" s="5">
        <f>'VSV eGFP 171013 '!A36</f>
        <v>0</v>
      </c>
      <c r="C36" s="5">
        <f>'VSV eGFP 171013 '!C36</f>
        <v>0</v>
      </c>
      <c r="Z36" t="s">
        <v>44</v>
      </c>
      <c r="AA36">
        <v>8.4700002999999996E-2</v>
      </c>
      <c r="AB36">
        <v>0.70880001800000003</v>
      </c>
      <c r="AC36">
        <v>2.7757000920000001</v>
      </c>
      <c r="AD36" t="s">
        <v>13</v>
      </c>
      <c r="AE36" t="s">
        <v>13</v>
      </c>
      <c r="AF36" t="s">
        <v>13</v>
      </c>
      <c r="AG36">
        <v>8.4899999000000004E-2</v>
      </c>
      <c r="AH36" t="s">
        <v>13</v>
      </c>
      <c r="AI36">
        <v>3.5529000759999998</v>
      </c>
      <c r="AJ36">
        <v>1.771499991</v>
      </c>
      <c r="AK36">
        <v>0.130099997</v>
      </c>
      <c r="AL36">
        <v>0.13070000700000001</v>
      </c>
      <c r="AM36"/>
    </row>
    <row r="37" spans="1:39" ht="16" x14ac:dyDescent="0.2">
      <c r="A37" s="5" t="str">
        <f>'VSV eGFP 171013 '!A37</f>
        <v>SUMMARY</v>
      </c>
      <c r="C37" s="5">
        <f>'VSV eGFP 171013 '!C37</f>
        <v>0</v>
      </c>
      <c r="D37" s="3" t="s">
        <v>48</v>
      </c>
      <c r="F37" s="3" t="s">
        <v>55</v>
      </c>
      <c r="G37" s="3" t="s">
        <v>56</v>
      </c>
      <c r="H37" s="3" t="s">
        <v>57</v>
      </c>
      <c r="I37" s="3" t="s">
        <v>58</v>
      </c>
      <c r="J37" s="3" t="s">
        <v>59</v>
      </c>
      <c r="K37" s="3" t="s">
        <v>60</v>
      </c>
      <c r="L37" s="3" t="s">
        <v>61</v>
      </c>
      <c r="M37" s="3" t="s">
        <v>62</v>
      </c>
      <c r="N37" s="3" t="s">
        <v>1</v>
      </c>
      <c r="Z37" t="s">
        <v>45</v>
      </c>
      <c r="AA37">
        <v>8.2500003000000002E-2</v>
      </c>
      <c r="AB37">
        <v>0.68110001099999995</v>
      </c>
      <c r="AC37">
        <v>2.7876999379999998</v>
      </c>
      <c r="AD37">
        <v>3.6740999219999999</v>
      </c>
      <c r="AE37">
        <v>3.9133999350000002</v>
      </c>
      <c r="AF37" t="s">
        <v>13</v>
      </c>
      <c r="AG37">
        <v>8.5100002999999994E-2</v>
      </c>
      <c r="AH37">
        <v>3.7765998839999999</v>
      </c>
      <c r="AI37">
        <v>3.7272000310000002</v>
      </c>
      <c r="AJ37">
        <v>2.0629999639999999</v>
      </c>
      <c r="AK37">
        <v>0.1096</v>
      </c>
      <c r="AL37">
        <v>0.10769999800000001</v>
      </c>
      <c r="AM37"/>
    </row>
    <row r="38" spans="1:39" ht="16" x14ac:dyDescent="0.2">
      <c r="A38" s="5">
        <f>'VSV eGFP 171013 '!A38</f>
        <v>0</v>
      </c>
      <c r="C38" s="5">
        <f>'VSV eGFP 171013 '!C38</f>
        <v>0</v>
      </c>
      <c r="D38" s="16"/>
      <c r="Z38" t="s">
        <v>46</v>
      </c>
      <c r="AA38">
        <v>8.2900003E-2</v>
      </c>
      <c r="AB38">
        <v>0.67199999099999996</v>
      </c>
      <c r="AC38">
        <v>2.8559000490000002</v>
      </c>
      <c r="AD38">
        <v>3.5824000840000001</v>
      </c>
      <c r="AE38">
        <v>3.9433000090000001</v>
      </c>
      <c r="AF38" t="s">
        <v>13</v>
      </c>
      <c r="AG38">
        <v>8.8900000000000007E-2</v>
      </c>
      <c r="AH38">
        <v>3.676300049</v>
      </c>
      <c r="AI38">
        <v>3.547600031</v>
      </c>
      <c r="AJ38">
        <v>2.056200027</v>
      </c>
      <c r="AK38">
        <v>8.9100002999999997E-2</v>
      </c>
      <c r="AL38">
        <v>9.1399996999999997E-2</v>
      </c>
      <c r="AM38"/>
    </row>
    <row r="39" spans="1:39" ht="32" x14ac:dyDescent="0.2">
      <c r="A39" s="5" t="str">
        <f>'VSV eGFP 171013 '!A39</f>
        <v>rearranged and -*1.1 for NP40 (removal from PC3 prior to ELISA)</v>
      </c>
      <c r="C39" s="5" t="str">
        <f>'VSV eGFP 171013 '!C39</f>
        <v>#1</v>
      </c>
      <c r="D39" s="6">
        <f>D13*1.1*D8</f>
        <v>35.214357559187341</v>
      </c>
      <c r="E39" s="6">
        <f t="shared" ref="E39:N39" si="8">E13*1.1*E8</f>
        <v>29.418309962349017</v>
      </c>
      <c r="F39" s="6">
        <f t="shared" si="8"/>
        <v>280.36693974186483</v>
      </c>
      <c r="G39" s="6">
        <f t="shared" si="8"/>
        <v>912.94482952022565</v>
      </c>
      <c r="H39" s="6">
        <f t="shared" si="8"/>
        <v>2148.9182226519588</v>
      </c>
      <c r="I39" s="6">
        <f t="shared" si="8"/>
        <v>3086.7994953224666</v>
      </c>
      <c r="J39" s="6">
        <f t="shared" si="8"/>
        <v>2816.6094083225735</v>
      </c>
      <c r="K39" s="6">
        <f t="shared" si="8"/>
        <v>3136.0659588968761</v>
      </c>
      <c r="L39" s="6">
        <f t="shared" si="8"/>
        <v>2514.0018166798359</v>
      </c>
      <c r="M39" s="6">
        <f t="shared" si="8"/>
        <v>2630.0576129121787</v>
      </c>
      <c r="N39" s="6">
        <f t="shared" si="8"/>
        <v>59.780163432564599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6" x14ac:dyDescent="0.2">
      <c r="A40" s="5">
        <f>'VSV eGFP 171013 '!A40</f>
        <v>0</v>
      </c>
      <c r="C40" s="5" t="str">
        <f>'VSV eGFP 171013 '!C40</f>
        <v>#2</v>
      </c>
      <c r="E40" s="6">
        <f>E20*1.1*E8</f>
        <v>28.373673403887082</v>
      </c>
      <c r="F40" s="6">
        <f t="shared" ref="F40:N40" si="9">F20*1.1*F8</f>
        <v>303.75332125179477</v>
      </c>
      <c r="G40" s="6">
        <f t="shared" si="9"/>
        <v>882.34715545105951</v>
      </c>
      <c r="H40" s="6">
        <f t="shared" si="9"/>
        <v>2342.9510795549159</v>
      </c>
      <c r="I40" s="6">
        <f t="shared" si="9"/>
        <v>2610.8497274222382</v>
      </c>
      <c r="J40" s="6">
        <f t="shared" si="9"/>
        <v>3131.6178947989947</v>
      </c>
      <c r="K40" s="6">
        <f t="shared" si="9"/>
        <v>2014.7329739255911</v>
      </c>
      <c r="L40" s="6">
        <f t="shared" si="9"/>
        <v>988.56308414572493</v>
      </c>
      <c r="M40" s="6">
        <f t="shared" si="9"/>
        <v>2954.2993433446891</v>
      </c>
      <c r="N40" s="6">
        <f t="shared" si="9"/>
        <v>55.399431097526112</v>
      </c>
      <c r="Z40" t="s">
        <v>47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6" x14ac:dyDescent="0.2">
      <c r="A41" s="5">
        <f>'VSV eGFP 171013 '!A41</f>
        <v>0</v>
      </c>
      <c r="C41" s="5" t="str">
        <f>'VSV eGFP 171013 '!C41</f>
        <v>#3</v>
      </c>
      <c r="D41" s="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Z41" t="s">
        <v>37</v>
      </c>
      <c r="AA41">
        <v>1</v>
      </c>
      <c r="AB41">
        <v>2</v>
      </c>
      <c r="AC41">
        <v>3</v>
      </c>
      <c r="AD41">
        <v>4</v>
      </c>
      <c r="AE41">
        <v>5</v>
      </c>
      <c r="AF41">
        <v>6</v>
      </c>
      <c r="AG41">
        <v>7</v>
      </c>
      <c r="AH41">
        <v>8</v>
      </c>
      <c r="AI41">
        <v>9</v>
      </c>
      <c r="AJ41">
        <v>10</v>
      </c>
      <c r="AK41">
        <v>11</v>
      </c>
      <c r="AL41">
        <v>12</v>
      </c>
      <c r="AM41"/>
    </row>
    <row r="42" spans="1:39" ht="17" thickBot="1" x14ac:dyDescent="0.25">
      <c r="A42" s="5">
        <f>'VSV eGFP 171013 '!A42</f>
        <v>0</v>
      </c>
      <c r="B42" s="3"/>
      <c r="C42" s="5" t="str">
        <f>'VSV eGFP 171013 '!C42</f>
        <v>#4</v>
      </c>
      <c r="D42" s="3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Z42" t="s">
        <v>39</v>
      </c>
      <c r="AA42">
        <v>3.9199999999999999E-2</v>
      </c>
      <c r="AB42">
        <v>4.3900002E-2</v>
      </c>
      <c r="AC42">
        <v>4.2199999000000002E-2</v>
      </c>
      <c r="AD42">
        <v>4.3200001000000002E-2</v>
      </c>
      <c r="AE42">
        <v>4.6899999999999997E-2</v>
      </c>
      <c r="AF42">
        <v>5.0900001E-2</v>
      </c>
      <c r="AG42">
        <v>3.8899998999999998E-2</v>
      </c>
      <c r="AH42">
        <v>4.3999999999999997E-2</v>
      </c>
      <c r="AI42">
        <v>4.5200000999999997E-2</v>
      </c>
      <c r="AJ42">
        <v>4.3999999999999997E-2</v>
      </c>
      <c r="AK42">
        <v>4.5400001000000002E-2</v>
      </c>
      <c r="AL42">
        <v>4.5400001000000002E-2</v>
      </c>
      <c r="AM42"/>
    </row>
    <row r="43" spans="1:39" ht="16" x14ac:dyDescent="0.2">
      <c r="A43" s="5" t="str">
        <f>'VSV eGFP 171013 '!A43</f>
        <v>Average</v>
      </c>
      <c r="B43" s="3"/>
      <c r="C43" s="5">
        <f>'VSV eGFP 171013 '!C43</f>
        <v>0</v>
      </c>
      <c r="D43" s="63">
        <f>AVERAGE(D39:D40)</f>
        <v>35.214357559187341</v>
      </c>
      <c r="E43" s="64">
        <f>AVERAGE(E39:E40)</f>
        <v>28.895991683118048</v>
      </c>
      <c r="F43" s="64">
        <f t="shared" ref="F43:N43" si="10">AVERAGE(F39:F40)</f>
        <v>292.0601304968298</v>
      </c>
      <c r="G43" s="64">
        <f t="shared" si="10"/>
        <v>897.64599248564264</v>
      </c>
      <c r="H43" s="64">
        <f t="shared" si="10"/>
        <v>2245.9346511034373</v>
      </c>
      <c r="I43" s="64">
        <f t="shared" si="10"/>
        <v>2848.8246113723526</v>
      </c>
      <c r="J43" s="64">
        <f t="shared" si="10"/>
        <v>2974.1136515607841</v>
      </c>
      <c r="K43" s="64">
        <f t="shared" si="10"/>
        <v>2575.3994664112333</v>
      </c>
      <c r="L43" s="64">
        <f t="shared" si="10"/>
        <v>1751.2824504127805</v>
      </c>
      <c r="M43" s="64">
        <f t="shared" si="10"/>
        <v>2792.1784781284341</v>
      </c>
      <c r="N43" s="65">
        <f t="shared" si="10"/>
        <v>57.589797265045355</v>
      </c>
      <c r="O43" s="58"/>
      <c r="P43" s="58"/>
      <c r="Z43" t="s">
        <v>40</v>
      </c>
      <c r="AA43">
        <v>4.0600002000000003E-2</v>
      </c>
      <c r="AB43">
        <v>4.0899998999999999E-2</v>
      </c>
      <c r="AC43">
        <v>4.3099999E-2</v>
      </c>
      <c r="AD43">
        <v>4.5299999000000001E-2</v>
      </c>
      <c r="AE43">
        <v>4.7699999E-2</v>
      </c>
      <c r="AF43">
        <v>4.8099997999999998E-2</v>
      </c>
      <c r="AG43">
        <v>4.2599998E-2</v>
      </c>
      <c r="AH43">
        <v>4.6100002000000001E-2</v>
      </c>
      <c r="AI43">
        <v>4.7899998999999999E-2</v>
      </c>
      <c r="AJ43">
        <v>4.5299999000000001E-2</v>
      </c>
      <c r="AK43">
        <v>4.2700000000000002E-2</v>
      </c>
      <c r="AL43">
        <v>4.1799999999999997E-2</v>
      </c>
      <c r="AM43"/>
    </row>
    <row r="44" spans="1:39" ht="16" x14ac:dyDescent="0.2">
      <c r="A44" s="5">
        <f>'VSV eGFP 171013 '!A44</f>
        <v>0</v>
      </c>
      <c r="C44" s="5">
        <f>'VSV eGFP 171013 '!C44</f>
        <v>0</v>
      </c>
      <c r="D44" s="24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58"/>
      <c r="P44" s="58"/>
      <c r="Z44" t="s">
        <v>41</v>
      </c>
      <c r="AA44">
        <v>3.8699998999999999E-2</v>
      </c>
      <c r="AB44">
        <v>3.9000000999999999E-2</v>
      </c>
      <c r="AC44">
        <v>4.2599998E-2</v>
      </c>
      <c r="AD44">
        <v>4.4599999000000001E-2</v>
      </c>
      <c r="AE44">
        <v>4.5899997999999997E-2</v>
      </c>
      <c r="AF44">
        <v>4.7300000000000002E-2</v>
      </c>
      <c r="AG44">
        <v>3.9099999000000003E-2</v>
      </c>
      <c r="AH44">
        <v>4.6199999999999998E-2</v>
      </c>
      <c r="AI44">
        <v>4.3299998999999999E-2</v>
      </c>
      <c r="AJ44">
        <v>4.0399997999999999E-2</v>
      </c>
      <c r="AK44">
        <v>3.9600000000000003E-2</v>
      </c>
      <c r="AL44">
        <v>4.0899998999999999E-2</v>
      </c>
      <c r="AM44"/>
    </row>
    <row r="45" spans="1:39" ht="17" thickBot="1" x14ac:dyDescent="0.25">
      <c r="A45" s="5" t="str">
        <f>'VSV eGFP 171013 '!A45</f>
        <v>FOLD change (cf 'mock')</v>
      </c>
      <c r="C45" s="3"/>
      <c r="D45" s="25">
        <f>D43/$F$43</f>
        <v>0.12057228591688786</v>
      </c>
      <c r="E45" s="68">
        <f>E43/$F$43</f>
        <v>9.8938501581720351E-2</v>
      </c>
      <c r="F45" s="68">
        <f>F43/$F$43</f>
        <v>1</v>
      </c>
      <c r="G45" s="68">
        <f t="shared" ref="G45:N45" si="11">G43/$F$43</f>
        <v>3.0734971971649729</v>
      </c>
      <c r="H45" s="68">
        <f t="shared" si="11"/>
        <v>7.6899734560921731</v>
      </c>
      <c r="I45" s="68">
        <f t="shared" si="11"/>
        <v>9.7542400139524545</v>
      </c>
      <c r="J45" s="68">
        <f t="shared" si="11"/>
        <v>10.183223730337499</v>
      </c>
      <c r="K45" s="68">
        <f t="shared" si="11"/>
        <v>8.8180453183738763</v>
      </c>
      <c r="L45" s="68">
        <f t="shared" si="11"/>
        <v>5.9963078405588464</v>
      </c>
      <c r="M45" s="68">
        <f t="shared" si="11"/>
        <v>9.5602863471251585</v>
      </c>
      <c r="N45" s="69">
        <f t="shared" si="11"/>
        <v>0.19718472756647101</v>
      </c>
      <c r="O45" s="58"/>
      <c r="P45" s="58"/>
      <c r="Z45" t="s">
        <v>42</v>
      </c>
      <c r="AA45">
        <v>3.8899998999999998E-2</v>
      </c>
      <c r="AB45">
        <v>3.9700000999999999E-2</v>
      </c>
      <c r="AC45">
        <v>4.2500000000000003E-2</v>
      </c>
      <c r="AD45">
        <v>4.3900002E-2</v>
      </c>
      <c r="AE45">
        <v>4.4399999000000002E-2</v>
      </c>
      <c r="AF45">
        <v>4.6700000999999998E-2</v>
      </c>
      <c r="AG45">
        <v>3.8199997999999999E-2</v>
      </c>
      <c r="AH45">
        <v>4.5899997999999997E-2</v>
      </c>
      <c r="AI45">
        <v>4.2700000000000002E-2</v>
      </c>
      <c r="AJ45">
        <v>4.5999999999999999E-2</v>
      </c>
      <c r="AK45">
        <v>4.1099998999999998E-2</v>
      </c>
      <c r="AL45">
        <v>4.0600002000000003E-2</v>
      </c>
      <c r="AM45"/>
    </row>
    <row r="46" spans="1:39" ht="16" x14ac:dyDescent="0.2">
      <c r="A46" s="5">
        <f>'VSV eGFP 171013 '!A46</f>
        <v>0</v>
      </c>
      <c r="C46" s="3"/>
      <c r="D46" s="16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Z46" t="s">
        <v>43</v>
      </c>
      <c r="AA46">
        <v>3.9500001999999999E-2</v>
      </c>
      <c r="AB46">
        <v>5.4699998E-2</v>
      </c>
      <c r="AC46">
        <v>4.7800001000000002E-2</v>
      </c>
      <c r="AD46">
        <v>6.0499999999999998E-2</v>
      </c>
      <c r="AE46">
        <v>5.7399999E-2</v>
      </c>
      <c r="AF46">
        <v>7.2999998999999996E-2</v>
      </c>
      <c r="AG46">
        <v>4.0899998999999999E-2</v>
      </c>
      <c r="AH46">
        <v>6.1900001000000003E-2</v>
      </c>
      <c r="AI46">
        <v>5.4900002000000003E-2</v>
      </c>
      <c r="AJ46">
        <v>4.4399999000000002E-2</v>
      </c>
      <c r="AK46">
        <v>3.9500001999999999E-2</v>
      </c>
      <c r="AL46">
        <v>3.8800001000000001E-2</v>
      </c>
      <c r="AM46"/>
    </row>
    <row r="47" spans="1:39" ht="16" x14ac:dyDescent="0.2">
      <c r="A47" s="5">
        <f>'VSV eGFP 171013 '!A47</f>
        <v>0</v>
      </c>
      <c r="C47" s="3"/>
      <c r="D47" s="16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Z47" t="s">
        <v>44</v>
      </c>
      <c r="AA47">
        <v>4.07E-2</v>
      </c>
      <c r="AB47">
        <v>4.4300000999999999E-2</v>
      </c>
      <c r="AC47">
        <v>4.6799999000000002E-2</v>
      </c>
      <c r="AD47">
        <v>6.3199996999999994E-2</v>
      </c>
      <c r="AE47">
        <v>5.8299999999999998E-2</v>
      </c>
      <c r="AF47">
        <v>6.0400002000000001E-2</v>
      </c>
      <c r="AG47">
        <v>4.1200001E-2</v>
      </c>
      <c r="AH47">
        <v>5.6899998E-2</v>
      </c>
      <c r="AI47">
        <v>5.2600000000000001E-2</v>
      </c>
      <c r="AJ47">
        <v>4.5699998999999998E-2</v>
      </c>
      <c r="AK47">
        <v>3.9199999999999999E-2</v>
      </c>
      <c r="AL47">
        <v>3.8600001000000002E-2</v>
      </c>
      <c r="AM47"/>
    </row>
    <row r="48" spans="1:39" ht="16" x14ac:dyDescent="0.2">
      <c r="A48" s="5">
        <f>'VSV eGFP 171013 '!A48</f>
        <v>0</v>
      </c>
      <c r="D48" s="3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Z48" t="s">
        <v>45</v>
      </c>
      <c r="AA48">
        <v>3.9999999000000001E-2</v>
      </c>
      <c r="AB48">
        <v>4.4100001E-2</v>
      </c>
      <c r="AC48">
        <v>4.9199998000000002E-2</v>
      </c>
      <c r="AD48">
        <v>5.8400001E-2</v>
      </c>
      <c r="AE48">
        <v>5.7799998999999998E-2</v>
      </c>
      <c r="AF48">
        <v>7.0799999000000002E-2</v>
      </c>
      <c r="AG48">
        <v>3.9000000999999999E-2</v>
      </c>
      <c r="AH48">
        <v>6.3100003000000002E-2</v>
      </c>
      <c r="AI48">
        <v>5.9500000999999997E-2</v>
      </c>
      <c r="AJ48">
        <v>4.5499998999999999E-2</v>
      </c>
      <c r="AK48">
        <v>3.8699998999999999E-2</v>
      </c>
      <c r="AL48">
        <v>3.8400002000000003E-2</v>
      </c>
      <c r="AM48"/>
    </row>
    <row r="49" spans="1:39" ht="16" x14ac:dyDescent="0.2">
      <c r="A49" s="5">
        <f>'VSV eGFP 171013 '!A49</f>
        <v>0</v>
      </c>
      <c r="D49" s="3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Z49" t="s">
        <v>46</v>
      </c>
      <c r="AA49">
        <v>3.8600001000000002E-2</v>
      </c>
      <c r="AB49">
        <v>3.9999999000000001E-2</v>
      </c>
      <c r="AC49">
        <v>4.8999999000000002E-2</v>
      </c>
      <c r="AD49">
        <v>5.4800000000000001E-2</v>
      </c>
      <c r="AE49">
        <v>5.4400001000000003E-2</v>
      </c>
      <c r="AF49">
        <v>5.9700001000000003E-2</v>
      </c>
      <c r="AG49">
        <v>4.07E-2</v>
      </c>
      <c r="AH49">
        <v>6.0800000999999999E-2</v>
      </c>
      <c r="AI49">
        <v>5.8200002000000001E-2</v>
      </c>
      <c r="AJ49">
        <v>4.7300000000000002E-2</v>
      </c>
      <c r="AK49">
        <v>3.7999999E-2</v>
      </c>
      <c r="AL49">
        <v>3.7999999E-2</v>
      </c>
      <c r="AM49"/>
    </row>
    <row r="50" spans="1:39" ht="16" x14ac:dyDescent="0.2">
      <c r="D50" s="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6" x14ac:dyDescent="0.2">
      <c r="A51" s="61" t="s">
        <v>156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58"/>
      <c r="P51" s="58"/>
      <c r="Z51" t="s">
        <v>50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6" x14ac:dyDescent="0.2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Z52" t="s">
        <v>37</v>
      </c>
      <c r="AA52">
        <v>1</v>
      </c>
      <c r="AB52">
        <v>2</v>
      </c>
      <c r="AC52">
        <v>3</v>
      </c>
      <c r="AD52">
        <v>4</v>
      </c>
      <c r="AE52">
        <v>5</v>
      </c>
      <c r="AF52">
        <v>6</v>
      </c>
      <c r="AG52">
        <v>7</v>
      </c>
      <c r="AH52">
        <v>8</v>
      </c>
      <c r="AI52">
        <v>9</v>
      </c>
      <c r="AJ52">
        <v>10</v>
      </c>
      <c r="AK52">
        <v>11</v>
      </c>
      <c r="AL52">
        <v>12</v>
      </c>
      <c r="AM52"/>
    </row>
    <row r="53" spans="1:39" ht="16" x14ac:dyDescent="0.2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Z53" t="s">
        <v>39</v>
      </c>
      <c r="AA53" s="96">
        <v>4.6199999999999998E-2</v>
      </c>
      <c r="AB53" s="96">
        <v>0.41299998799999998</v>
      </c>
      <c r="AC53" s="96">
        <v>1.333699942</v>
      </c>
      <c r="AD53" s="96">
        <v>1.560199976</v>
      </c>
      <c r="AE53" s="96">
        <v>2.3148999209999999</v>
      </c>
      <c r="AF53" s="96">
        <v>2.1017999650000001</v>
      </c>
      <c r="AG53" s="96">
        <v>4.3699997999999997E-2</v>
      </c>
      <c r="AH53" s="96">
        <v>1.997400045</v>
      </c>
      <c r="AI53" s="96">
        <v>2.3083999159999999</v>
      </c>
      <c r="AJ53" s="96">
        <v>1.8676999809999999</v>
      </c>
      <c r="AK53" s="96">
        <v>1.7440999749999999</v>
      </c>
      <c r="AL53" s="96">
        <v>1.722200036</v>
      </c>
      <c r="AM53"/>
    </row>
    <row r="54" spans="1:39" ht="16" x14ac:dyDescent="0.2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Z54" t="s">
        <v>40</v>
      </c>
      <c r="AA54" s="96">
        <v>4.1099998999999998E-2</v>
      </c>
      <c r="AB54" s="96">
        <v>0.41899999999999998</v>
      </c>
      <c r="AC54" s="96">
        <v>1.3754999640000001</v>
      </c>
      <c r="AD54" s="96">
        <v>1.6282999520000001</v>
      </c>
      <c r="AE54" s="96">
        <v>2.2651998999999998</v>
      </c>
      <c r="AF54" s="96">
        <v>2.077399969</v>
      </c>
      <c r="AG54" s="96">
        <v>4.5000001999999997E-2</v>
      </c>
      <c r="AH54" s="96">
        <v>1.9049999710000001</v>
      </c>
      <c r="AI54" s="96">
        <v>2.3447999949999998</v>
      </c>
      <c r="AJ54" s="96">
        <v>1.8624999520000001</v>
      </c>
      <c r="AK54" s="96">
        <v>0.77069997800000001</v>
      </c>
      <c r="AL54" s="96">
        <v>0.81540000400000001</v>
      </c>
      <c r="AM54"/>
    </row>
    <row r="55" spans="1:39" ht="16" x14ac:dyDescent="0.2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Z55" t="s">
        <v>41</v>
      </c>
      <c r="AA55" s="96">
        <v>4.2399999000000001E-2</v>
      </c>
      <c r="AB55" s="96">
        <v>0.42370000499999999</v>
      </c>
      <c r="AC55" s="96">
        <v>1.3214000459999999</v>
      </c>
      <c r="AD55" s="96">
        <v>1.7172000409999999</v>
      </c>
      <c r="AE55" s="96">
        <v>1.9450999499999999</v>
      </c>
      <c r="AF55" s="96">
        <v>2.2834000589999999</v>
      </c>
      <c r="AG55" s="96">
        <v>4.0800001000000002E-2</v>
      </c>
      <c r="AH55" s="96">
        <v>2.179100037</v>
      </c>
      <c r="AI55" s="96">
        <v>1.465899944</v>
      </c>
      <c r="AJ55" s="96">
        <v>0.72790002799999998</v>
      </c>
      <c r="AK55" s="96">
        <v>0.42289999099999998</v>
      </c>
      <c r="AL55" s="96">
        <v>0.38949999200000002</v>
      </c>
      <c r="AM55"/>
    </row>
    <row r="56" spans="1:39" ht="16" x14ac:dyDescent="0.2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Z56" t="s">
        <v>42</v>
      </c>
      <c r="AA56" s="96">
        <v>4.1799999999999997E-2</v>
      </c>
      <c r="AB56" s="96">
        <v>0.47769999499999999</v>
      </c>
      <c r="AC56" s="96">
        <v>1.2970000509999999</v>
      </c>
      <c r="AD56" s="96">
        <v>1.759199977</v>
      </c>
      <c r="AE56" s="96">
        <v>1.9287999870000001</v>
      </c>
      <c r="AF56" s="96">
        <v>2.3631999490000002</v>
      </c>
      <c r="AG56" s="96">
        <v>4.1399999999999999E-2</v>
      </c>
      <c r="AH56" s="96">
        <v>2.204400063</v>
      </c>
      <c r="AI56" s="96">
        <v>1.5234999659999999</v>
      </c>
      <c r="AJ56" s="96">
        <v>0.73890000600000005</v>
      </c>
      <c r="AK56" s="96">
        <v>0.238199994</v>
      </c>
      <c r="AL56" s="96">
        <v>0.218500003</v>
      </c>
      <c r="AM56"/>
    </row>
    <row r="57" spans="1:39" ht="16" x14ac:dyDescent="0.2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Z57" t="s">
        <v>43</v>
      </c>
      <c r="AA57">
        <v>4.7200001999999998E-2</v>
      </c>
      <c r="AB57">
        <v>0.63859999199999995</v>
      </c>
      <c r="AC57">
        <v>2.6568999290000002</v>
      </c>
      <c r="AD57" t="s">
        <v>13</v>
      </c>
      <c r="AE57" t="s">
        <v>13</v>
      </c>
      <c r="AF57" t="s">
        <v>13</v>
      </c>
      <c r="AG57">
        <v>4.4500000999999997E-2</v>
      </c>
      <c r="AH57">
        <v>3.8894999029999999</v>
      </c>
      <c r="AI57">
        <v>3.4235999580000001</v>
      </c>
      <c r="AJ57">
        <v>1.7975000139999999</v>
      </c>
      <c r="AK57" s="96">
        <v>0.13429999400000001</v>
      </c>
      <c r="AL57" s="96">
        <v>0.13770000600000001</v>
      </c>
      <c r="AM57"/>
    </row>
    <row r="58" spans="1:39" ht="16" x14ac:dyDescent="0.2">
      <c r="Z58" t="s">
        <v>44</v>
      </c>
      <c r="AA58">
        <v>4.3900002E-2</v>
      </c>
      <c r="AB58">
        <v>0.66460001499999999</v>
      </c>
      <c r="AC58">
        <v>2.7288999559999998</v>
      </c>
      <c r="AD58" t="s">
        <v>13</v>
      </c>
      <c r="AE58" t="s">
        <v>13</v>
      </c>
      <c r="AF58" t="s">
        <v>13</v>
      </c>
      <c r="AG58">
        <v>4.3699997999999997E-2</v>
      </c>
      <c r="AH58" t="s">
        <v>13</v>
      </c>
      <c r="AI58">
        <v>3.500200033</v>
      </c>
      <c r="AJ58">
        <v>1.725800037</v>
      </c>
      <c r="AK58" s="96">
        <v>9.0899995999999997E-2</v>
      </c>
      <c r="AL58" s="96">
        <v>9.2100002E-2</v>
      </c>
      <c r="AM58"/>
    </row>
    <row r="59" spans="1:39" ht="16" x14ac:dyDescent="0.2">
      <c r="Z59" t="s">
        <v>45</v>
      </c>
      <c r="AA59">
        <v>4.2500000000000003E-2</v>
      </c>
      <c r="AB59">
        <v>0.63690000800000002</v>
      </c>
      <c r="AC59">
        <v>2.7385001180000001</v>
      </c>
      <c r="AD59">
        <v>3.615700006</v>
      </c>
      <c r="AE59">
        <v>3.855600119</v>
      </c>
      <c r="AF59" t="s">
        <v>13</v>
      </c>
      <c r="AG59">
        <v>4.6100002000000001E-2</v>
      </c>
      <c r="AH59">
        <v>3.7135999200000001</v>
      </c>
      <c r="AI59">
        <v>3.6677000519999998</v>
      </c>
      <c r="AJ59">
        <v>2.017499924</v>
      </c>
      <c r="AK59" s="96">
        <v>7.0900001000000004E-2</v>
      </c>
      <c r="AL59" s="96">
        <v>6.9300002999999999E-2</v>
      </c>
      <c r="AM59"/>
    </row>
    <row r="60" spans="1:39" ht="16" x14ac:dyDescent="0.2">
      <c r="Z60" t="s">
        <v>46</v>
      </c>
      <c r="AA60">
        <v>4.4300000999999999E-2</v>
      </c>
      <c r="AB60">
        <v>0.63209998599999995</v>
      </c>
      <c r="AC60">
        <v>2.8069000239999999</v>
      </c>
      <c r="AD60">
        <v>3.5276000500000002</v>
      </c>
      <c r="AE60">
        <v>3.8889000419999999</v>
      </c>
      <c r="AF60" t="s">
        <v>13</v>
      </c>
      <c r="AG60">
        <v>4.8099997999999998E-2</v>
      </c>
      <c r="AH60">
        <v>3.6154999729999999</v>
      </c>
      <c r="AI60">
        <v>3.4893999099999999</v>
      </c>
      <c r="AJ60">
        <v>2.0088999269999999</v>
      </c>
      <c r="AK60" s="96">
        <v>5.1100000999999999E-2</v>
      </c>
      <c r="AL60" s="96">
        <v>5.3399998999999997E-2</v>
      </c>
      <c r="AM60"/>
    </row>
    <row r="61" spans="1:39" ht="16" x14ac:dyDescent="0.2"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ht="16" x14ac:dyDescent="0.2">
      <c r="Z62" t="s">
        <v>51</v>
      </c>
      <c r="AA62" s="95">
        <v>43104.772303240738</v>
      </c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ht="16" x14ac:dyDescent="0.2"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x14ac:dyDescent="0.2">
      <c r="Z64" s="4"/>
      <c r="AA64" s="4"/>
      <c r="AB64" s="4"/>
      <c r="AC64" s="4"/>
      <c r="AD64" s="4"/>
      <c r="AE64" s="4"/>
      <c r="AF64" s="4"/>
      <c r="AG64" s="4"/>
      <c r="AH64" s="4"/>
      <c r="AI64" s="4"/>
      <c r="AK64" s="154" t="s">
        <v>194</v>
      </c>
      <c r="AL64" s="154"/>
    </row>
    <row r="65" spans="25:39" x14ac:dyDescent="0.2">
      <c r="Z65" s="12" t="s">
        <v>193</v>
      </c>
      <c r="AA65" s="12">
        <f>AA52</f>
        <v>1</v>
      </c>
      <c r="AB65" s="12">
        <f t="shared" ref="AB65:AL65" si="12">AB52</f>
        <v>2</v>
      </c>
      <c r="AC65" s="12">
        <f t="shared" si="12"/>
        <v>3</v>
      </c>
      <c r="AD65" s="12">
        <f t="shared" si="12"/>
        <v>4</v>
      </c>
      <c r="AE65" s="12">
        <f t="shared" si="12"/>
        <v>5</v>
      </c>
      <c r="AF65" s="12">
        <f t="shared" si="12"/>
        <v>6</v>
      </c>
      <c r="AG65" s="12">
        <f t="shared" si="12"/>
        <v>7</v>
      </c>
      <c r="AH65" s="12">
        <f t="shared" si="12"/>
        <v>8</v>
      </c>
      <c r="AI65" s="12">
        <f t="shared" si="12"/>
        <v>9</v>
      </c>
      <c r="AJ65" s="12">
        <f t="shared" si="12"/>
        <v>10</v>
      </c>
      <c r="AK65" s="155">
        <f t="shared" si="12"/>
        <v>11</v>
      </c>
      <c r="AL65" s="155">
        <f t="shared" si="12"/>
        <v>12</v>
      </c>
      <c r="AM65" s="4">
        <f t="shared" ref="AM65" si="13">AM50</f>
        <v>0</v>
      </c>
    </row>
    <row r="66" spans="25:39" ht="48" x14ac:dyDescent="0.2">
      <c r="Y66" s="158" t="s">
        <v>406</v>
      </c>
      <c r="Z66" s="12" t="str">
        <f>Z53</f>
        <v>A</v>
      </c>
      <c r="AA66" s="157" t="s">
        <v>351</v>
      </c>
      <c r="AB66" s="157" t="s">
        <v>352</v>
      </c>
      <c r="AC66" s="157" t="s">
        <v>353</v>
      </c>
      <c r="AD66" s="157" t="s">
        <v>354</v>
      </c>
      <c r="AE66" s="157" t="s">
        <v>355</v>
      </c>
      <c r="AF66" s="157" t="s">
        <v>356</v>
      </c>
      <c r="AG66" s="157" t="s">
        <v>393</v>
      </c>
      <c r="AH66" s="157" t="s">
        <v>357</v>
      </c>
      <c r="AI66" s="157" t="s">
        <v>358</v>
      </c>
      <c r="AJ66" s="157" t="s">
        <v>359</v>
      </c>
      <c r="AK66" s="156">
        <v>1000</v>
      </c>
      <c r="AL66" s="156">
        <v>1000</v>
      </c>
    </row>
    <row r="67" spans="25:39" ht="48" x14ac:dyDescent="0.2">
      <c r="Y67" s="148"/>
      <c r="Z67" s="12" t="str">
        <f t="shared" ref="Z67:Z73" si="14">Z54</f>
        <v>B</v>
      </c>
      <c r="AA67" s="157" t="s">
        <v>360</v>
      </c>
      <c r="AB67" s="157" t="s">
        <v>361</v>
      </c>
      <c r="AC67" s="157" t="s">
        <v>362</v>
      </c>
      <c r="AD67" s="157" t="s">
        <v>363</v>
      </c>
      <c r="AE67" s="157" t="s">
        <v>364</v>
      </c>
      <c r="AF67" s="157" t="s">
        <v>365</v>
      </c>
      <c r="AG67" s="157" t="s">
        <v>394</v>
      </c>
      <c r="AH67" s="157" t="s">
        <v>366</v>
      </c>
      <c r="AI67" s="157" t="s">
        <v>367</v>
      </c>
      <c r="AJ67" s="157" t="s">
        <v>368</v>
      </c>
      <c r="AK67" s="156">
        <v>500</v>
      </c>
      <c r="AL67" s="156">
        <v>500</v>
      </c>
    </row>
    <row r="68" spans="25:39" ht="48" x14ac:dyDescent="0.2">
      <c r="Y68" s="148"/>
      <c r="Z68" s="12" t="str">
        <f t="shared" si="14"/>
        <v>C</v>
      </c>
      <c r="AA68" s="157" t="s">
        <v>369</v>
      </c>
      <c r="AB68" s="157" t="s">
        <v>370</v>
      </c>
      <c r="AC68" s="157" t="s">
        <v>371</v>
      </c>
      <c r="AD68" s="157" t="s">
        <v>372</v>
      </c>
      <c r="AE68" s="157" t="s">
        <v>373</v>
      </c>
      <c r="AF68" s="157" t="s">
        <v>374</v>
      </c>
      <c r="AG68" s="157" t="s">
        <v>395</v>
      </c>
      <c r="AH68" s="157" t="s">
        <v>375</v>
      </c>
      <c r="AI68" s="157" t="s">
        <v>376</v>
      </c>
      <c r="AJ68" s="157" t="s">
        <v>377</v>
      </c>
      <c r="AK68" s="156">
        <v>250</v>
      </c>
      <c r="AL68" s="156">
        <v>250</v>
      </c>
    </row>
    <row r="69" spans="25:39" ht="48" x14ac:dyDescent="0.2">
      <c r="Y69" s="148"/>
      <c r="Z69" s="12" t="str">
        <f t="shared" si="14"/>
        <v>D</v>
      </c>
      <c r="AA69" s="157" t="s">
        <v>378</v>
      </c>
      <c r="AB69" s="157" t="s">
        <v>379</v>
      </c>
      <c r="AC69" s="157" t="s">
        <v>380</v>
      </c>
      <c r="AD69" s="157" t="s">
        <v>381</v>
      </c>
      <c r="AE69" s="157" t="s">
        <v>382</v>
      </c>
      <c r="AF69" s="157" t="s">
        <v>383</v>
      </c>
      <c r="AG69" s="157" t="s">
        <v>396</v>
      </c>
      <c r="AH69" s="157" t="s">
        <v>384</v>
      </c>
      <c r="AI69" s="157" t="s">
        <v>385</v>
      </c>
      <c r="AJ69" s="157" t="s">
        <v>386</v>
      </c>
      <c r="AK69" s="156">
        <v>125</v>
      </c>
      <c r="AL69" s="156">
        <v>125</v>
      </c>
    </row>
    <row r="70" spans="25:39" x14ac:dyDescent="0.2">
      <c r="Z70" s="12" t="str">
        <f t="shared" si="14"/>
        <v>E</v>
      </c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56">
        <v>62.5</v>
      </c>
      <c r="AL70" s="156">
        <v>62.5</v>
      </c>
    </row>
    <row r="71" spans="25:39" x14ac:dyDescent="0.2">
      <c r="Z71" s="12" t="str">
        <f t="shared" si="14"/>
        <v>F</v>
      </c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56">
        <v>31.25</v>
      </c>
      <c r="AL71" s="156">
        <v>31.25</v>
      </c>
    </row>
    <row r="72" spans="25:39" x14ac:dyDescent="0.2">
      <c r="Z72" s="12" t="str">
        <f t="shared" si="14"/>
        <v>G</v>
      </c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56">
        <v>15.625</v>
      </c>
      <c r="AL72" s="156">
        <v>15.625</v>
      </c>
    </row>
    <row r="73" spans="25:39" x14ac:dyDescent="0.2">
      <c r="Z73" s="12" t="str">
        <f t="shared" si="14"/>
        <v>H</v>
      </c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56" t="s">
        <v>404</v>
      </c>
      <c r="AL73" s="155" t="s">
        <v>404</v>
      </c>
    </row>
  </sheetData>
  <mergeCells count="2">
    <mergeCell ref="AK64:AL64"/>
    <mergeCell ref="Y66:Y69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CDA1-1929-7546-BEAA-C0B738D60577}">
  <dimension ref="A2:BA73"/>
  <sheetViews>
    <sheetView showZeros="0" topLeftCell="A54" workbookViewId="0">
      <selection activeCell="AA6" sqref="AA6:AB6"/>
    </sheetView>
  </sheetViews>
  <sheetFormatPr baseColWidth="10" defaultColWidth="8.83203125" defaultRowHeight="15" x14ac:dyDescent="0.2"/>
  <cols>
    <col min="1" max="1" width="30.5" style="6" customWidth="1"/>
    <col min="2" max="2" width="17.1640625" style="6" customWidth="1"/>
    <col min="3" max="4" width="18.1640625" style="6" customWidth="1"/>
    <col min="5" max="11" width="8.83203125" style="6"/>
    <col min="12" max="12" width="8.83203125" style="58"/>
    <col min="13" max="15" width="8.83203125" style="6"/>
    <col min="16" max="16" width="8.83203125" style="9"/>
    <col min="17" max="25" width="8.83203125" style="6"/>
    <col min="26" max="26" width="10.1640625" style="6" customWidth="1"/>
    <col min="27" max="27" width="8.83203125" style="6"/>
    <col min="28" max="28" width="18.6640625" style="6" bestFit="1" customWidth="1"/>
    <col min="29" max="29" width="16.6640625" style="6" customWidth="1"/>
    <col min="30" max="30" width="17" style="6" customWidth="1"/>
    <col min="31" max="31" width="23.1640625" style="6" customWidth="1"/>
    <col min="32" max="32" width="14.33203125" style="6" customWidth="1"/>
    <col min="33" max="33" width="14.6640625" style="6" customWidth="1"/>
    <col min="34" max="34" width="14.1640625" style="6" customWidth="1"/>
    <col min="35" max="35" width="13.5" style="6" customWidth="1"/>
    <col min="36" max="37" width="14.33203125" style="6" customWidth="1"/>
    <col min="38" max="16384" width="8.83203125" style="6"/>
  </cols>
  <sheetData>
    <row r="2" spans="1:53" ht="16" x14ac:dyDescent="0.2">
      <c r="A2" s="5" t="str">
        <f>'VSV eGFP 171013 '!A2</f>
        <v>Bolded = raw data</v>
      </c>
      <c r="AA2" s="101" t="s">
        <v>2</v>
      </c>
      <c r="AB2" s="101"/>
      <c r="AC2" s="101"/>
      <c r="AD2" s="101"/>
      <c r="AE2" s="101" t="s">
        <v>3</v>
      </c>
      <c r="AF2" s="101"/>
      <c r="AG2" s="101"/>
      <c r="AH2" s="101"/>
      <c r="AI2" s="101"/>
      <c r="AJ2" s="101"/>
      <c r="AK2" s="101"/>
      <c r="AL2" s="101"/>
      <c r="AM2" s="101"/>
      <c r="AN2" s="101"/>
      <c r="AO2" t="s">
        <v>2</v>
      </c>
      <c r="AP2"/>
      <c r="AQ2"/>
      <c r="AR2"/>
      <c r="AS2" t="s">
        <v>3</v>
      </c>
      <c r="AT2"/>
      <c r="AU2"/>
      <c r="AV2"/>
      <c r="AW2"/>
      <c r="AX2"/>
      <c r="AY2"/>
      <c r="AZ2"/>
      <c r="BA2"/>
    </row>
    <row r="3" spans="1:53" ht="32" x14ac:dyDescent="0.2">
      <c r="A3" s="5" t="str">
        <f>'VSV eGFP 171013 '!A3</f>
        <v>4 separate samples, 2x replicate s from each for ELISA</v>
      </c>
      <c r="B3" s="15" t="s">
        <v>73</v>
      </c>
      <c r="Y3" s="6" t="s">
        <v>182</v>
      </c>
      <c r="AA3" s="101" t="s">
        <v>4</v>
      </c>
      <c r="AB3" s="101"/>
      <c r="AC3" s="101"/>
      <c r="AD3" s="101"/>
      <c r="AE3" s="101" t="s">
        <v>5</v>
      </c>
      <c r="AF3" s="101"/>
      <c r="AG3" s="101"/>
      <c r="AH3" s="101"/>
      <c r="AI3" s="101"/>
      <c r="AJ3" s="101"/>
      <c r="AK3" s="101"/>
      <c r="AL3" s="101"/>
      <c r="AM3" s="101"/>
      <c r="AN3" s="101"/>
      <c r="AO3" t="s">
        <v>4</v>
      </c>
      <c r="AP3"/>
      <c r="AQ3"/>
      <c r="AR3"/>
      <c r="AS3" t="s">
        <v>5</v>
      </c>
      <c r="AT3"/>
      <c r="AU3"/>
      <c r="AV3"/>
      <c r="AW3"/>
      <c r="AX3"/>
      <c r="AY3"/>
      <c r="AZ3"/>
      <c r="BA3"/>
    </row>
    <row r="4" spans="1:53" ht="16" x14ac:dyDescent="0.2">
      <c r="A4" s="5" t="str">
        <f>'VSV eGFP 171013 '!A4</f>
        <v>Cell type</v>
      </c>
      <c r="B4" s="15" t="s">
        <v>9</v>
      </c>
      <c r="C4" s="6" t="s">
        <v>71</v>
      </c>
      <c r="Y4" s="6" t="s">
        <v>9</v>
      </c>
      <c r="AA4" s="101" t="s">
        <v>6</v>
      </c>
      <c r="AB4" s="101"/>
      <c r="AC4" s="101"/>
      <c r="AD4" s="101"/>
      <c r="AE4" s="101" t="s">
        <v>7</v>
      </c>
      <c r="AF4" s="101"/>
      <c r="AG4" s="101"/>
      <c r="AH4" s="101"/>
      <c r="AI4" s="101"/>
      <c r="AJ4" s="101"/>
      <c r="AK4" s="101"/>
      <c r="AL4" s="101"/>
      <c r="AM4" s="101"/>
      <c r="AN4" s="101"/>
      <c r="AO4" t="s">
        <v>6</v>
      </c>
      <c r="AP4"/>
      <c r="AQ4"/>
      <c r="AR4"/>
      <c r="AS4" t="s">
        <v>7</v>
      </c>
      <c r="AT4"/>
      <c r="AU4"/>
      <c r="AV4"/>
      <c r="AW4"/>
      <c r="AX4"/>
      <c r="AY4"/>
      <c r="AZ4"/>
      <c r="BA4"/>
    </row>
    <row r="5" spans="1:53" ht="16" x14ac:dyDescent="0.2">
      <c r="A5" s="5" t="str">
        <f>'VSV eGFP 171013 '!A5</f>
        <v>Stimulation -</v>
      </c>
      <c r="D5" s="6" t="s">
        <v>48</v>
      </c>
      <c r="E5" s="3" t="s">
        <v>181</v>
      </c>
      <c r="F5" s="3" t="s">
        <v>55</v>
      </c>
      <c r="G5" s="3" t="s">
        <v>56</v>
      </c>
      <c r="H5" s="3" t="s">
        <v>57</v>
      </c>
      <c r="I5" s="3" t="s">
        <v>58</v>
      </c>
      <c r="J5" s="3" t="s">
        <v>59</v>
      </c>
      <c r="K5" s="3" t="s">
        <v>60</v>
      </c>
      <c r="L5" s="60" t="s">
        <v>61</v>
      </c>
      <c r="M5" s="3" t="s">
        <v>62</v>
      </c>
      <c r="N5" s="3" t="s">
        <v>1</v>
      </c>
      <c r="U5" s="6" t="s">
        <v>163</v>
      </c>
      <c r="V5" s="3" t="s">
        <v>64</v>
      </c>
      <c r="W5" s="3" t="s">
        <v>65</v>
      </c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6" x14ac:dyDescent="0.2">
      <c r="A6" s="5" t="str">
        <f>'VSV eGFP 171013 '!A6</f>
        <v xml:space="preserve">CXCL10 ELISA date </v>
      </c>
      <c r="P6" s="9">
        <v>1.7440999746322632</v>
      </c>
      <c r="Q6" s="6">
        <v>1.7222000360488892</v>
      </c>
      <c r="R6" s="6">
        <f t="shared" ref="R6:R13" si="0">AVERAGE(P6:Q6)</f>
        <v>1.7331500053405762</v>
      </c>
      <c r="S6" s="3">
        <f t="shared" ref="S6:S13" si="1">R6-$R$13</f>
        <v>1.6809000056236982</v>
      </c>
      <c r="T6" s="3">
        <v>1000</v>
      </c>
      <c r="AA6" s="105" t="s">
        <v>52</v>
      </c>
      <c r="AB6" s="163">
        <v>43112</v>
      </c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t="s">
        <v>52</v>
      </c>
      <c r="AP6" s="93">
        <v>43104</v>
      </c>
      <c r="AQ6"/>
      <c r="AR6"/>
      <c r="AS6"/>
      <c r="AT6"/>
      <c r="AU6"/>
      <c r="AV6"/>
      <c r="AW6"/>
      <c r="AX6"/>
      <c r="AY6"/>
      <c r="AZ6"/>
      <c r="BA6"/>
    </row>
    <row r="7" spans="1:53" ht="16" x14ac:dyDescent="0.2">
      <c r="A7" s="5"/>
      <c r="P7" s="9">
        <v>0.77069997787475586</v>
      </c>
      <c r="Q7" s="6">
        <v>0.81540000438690186</v>
      </c>
      <c r="R7" s="6">
        <f t="shared" si="0"/>
        <v>0.79304999113082886</v>
      </c>
      <c r="S7" s="3">
        <f t="shared" si="1"/>
        <v>0.74079999141395092</v>
      </c>
      <c r="T7" s="3">
        <v>500</v>
      </c>
      <c r="U7" s="6">
        <v>5.2249999999999998E-2</v>
      </c>
      <c r="V7" s="6">
        <v>612.69000000000005</v>
      </c>
      <c r="W7" s="6">
        <v>0.99450000000000005</v>
      </c>
      <c r="AA7" s="101" t="s">
        <v>53</v>
      </c>
      <c r="AB7" s="103">
        <v>0.67540509259259263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t="s">
        <v>53</v>
      </c>
      <c r="AP7" s="94">
        <v>0.77047453703703705</v>
      </c>
      <c r="AQ7"/>
      <c r="AR7"/>
      <c r="AS7"/>
      <c r="AT7"/>
      <c r="AU7"/>
      <c r="AV7"/>
      <c r="AW7"/>
      <c r="AX7"/>
      <c r="AY7"/>
      <c r="AZ7"/>
      <c r="BA7"/>
    </row>
    <row r="8" spans="1:53" ht="32" x14ac:dyDescent="0.2">
      <c r="A8" s="5" t="str">
        <f>'VSV eGFP 171013 '!A8</f>
        <v>DILUTION for elisa</v>
      </c>
      <c r="B8" s="5" t="s">
        <v>165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P8" s="9">
        <v>0.42289999127388</v>
      </c>
      <c r="Q8" s="6">
        <v>0.38949999213218689</v>
      </c>
      <c r="R8" s="6">
        <f t="shared" si="0"/>
        <v>0.40619999170303345</v>
      </c>
      <c r="S8" s="3">
        <f t="shared" si="1"/>
        <v>0.35394999198615551</v>
      </c>
      <c r="T8" s="3">
        <v>250</v>
      </c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6" x14ac:dyDescent="0.2">
      <c r="A9" s="5">
        <f>'VSV eGFP 171013 '!A9</f>
        <v>0</v>
      </c>
      <c r="B9" s="5" t="s">
        <v>78</v>
      </c>
      <c r="C9" s="16" t="s">
        <v>66</v>
      </c>
      <c r="D9" s="70">
        <f>U7</f>
        <v>5.2249999999999998E-2</v>
      </c>
      <c r="E9" s="6">
        <v>4.7200001776218414E-2</v>
      </c>
      <c r="F9" s="6">
        <v>0.63859999179840088</v>
      </c>
      <c r="G9" s="6">
        <v>2.6568999290466309</v>
      </c>
      <c r="H9" s="6" t="s">
        <v>13</v>
      </c>
      <c r="I9" s="6" t="s">
        <v>13</v>
      </c>
      <c r="J9" s="6" t="s">
        <v>13</v>
      </c>
      <c r="K9" s="6">
        <v>3.4235999584197998</v>
      </c>
      <c r="L9" s="58">
        <v>1.7975000143051147</v>
      </c>
      <c r="M9" s="6">
        <v>3.8894999027252197</v>
      </c>
      <c r="N9" s="6">
        <v>4.4500000774860382E-2</v>
      </c>
      <c r="P9" s="9">
        <v>0.23819999396800995</v>
      </c>
      <c r="Q9" s="6">
        <v>0.21850000321865082</v>
      </c>
      <c r="R9" s="6">
        <f t="shared" si="0"/>
        <v>0.22834999859333038</v>
      </c>
      <c r="S9" s="3">
        <f t="shared" si="1"/>
        <v>0.17609999887645245</v>
      </c>
      <c r="T9" s="3">
        <v>125</v>
      </c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6" x14ac:dyDescent="0.2">
      <c r="A10" s="5">
        <f>'VSV eGFP 171013 '!A10</f>
        <v>0</v>
      </c>
      <c r="B10" s="5" t="s">
        <v>79</v>
      </c>
      <c r="C10" s="16" t="s">
        <v>67</v>
      </c>
      <c r="D10" s="16"/>
      <c r="E10" s="6">
        <v>4.3900001794099808E-2</v>
      </c>
      <c r="F10" s="6">
        <v>0.66460001468658447</v>
      </c>
      <c r="G10" s="6">
        <v>2.7288999557495117</v>
      </c>
      <c r="H10" s="6" t="s">
        <v>13</v>
      </c>
      <c r="I10" s="6" t="s">
        <v>13</v>
      </c>
      <c r="J10" s="6" t="s">
        <v>13</v>
      </c>
      <c r="K10" s="6">
        <v>3.5002000331878662</v>
      </c>
      <c r="L10" s="58">
        <v>1.7258000373840332</v>
      </c>
      <c r="M10" s="6" t="s">
        <v>13</v>
      </c>
      <c r="N10" s="6">
        <v>4.3699998408555984E-2</v>
      </c>
      <c r="P10" s="9">
        <v>0.13429999351501465</v>
      </c>
      <c r="Q10" s="6">
        <v>0.13770000636577606</v>
      </c>
      <c r="R10" s="6">
        <f t="shared" si="0"/>
        <v>0.13599999994039536</v>
      </c>
      <c r="S10" s="3">
        <f t="shared" si="1"/>
        <v>8.3750000223517418E-2</v>
      </c>
      <c r="T10" s="3">
        <v>62.5</v>
      </c>
      <c r="AA10" s="101" t="s">
        <v>10</v>
      </c>
      <c r="AB10" s="101"/>
      <c r="AC10" s="101"/>
      <c r="AD10" s="101"/>
      <c r="AE10" s="101" t="s">
        <v>11</v>
      </c>
      <c r="AF10" s="101"/>
      <c r="AG10" s="101"/>
      <c r="AH10" s="101"/>
      <c r="AI10" s="101"/>
      <c r="AJ10" s="101"/>
      <c r="AK10" s="101"/>
      <c r="AL10" s="101"/>
      <c r="AM10" s="101"/>
      <c r="AN10" s="101"/>
      <c r="AO10" t="s">
        <v>10</v>
      </c>
      <c r="AP10"/>
      <c r="AQ10"/>
      <c r="AR10"/>
      <c r="AS10" t="s">
        <v>11</v>
      </c>
      <c r="AT10"/>
      <c r="AU10"/>
      <c r="AV10"/>
      <c r="AW10"/>
      <c r="AX10"/>
      <c r="AY10"/>
      <c r="AZ10"/>
      <c r="BA10"/>
    </row>
    <row r="11" spans="1:53" ht="16" x14ac:dyDescent="0.2">
      <c r="A11" s="5">
        <f>'VSV eGFP 171013 '!A11</f>
        <v>0</v>
      </c>
      <c r="B11" s="5" t="s">
        <v>12</v>
      </c>
      <c r="C11" s="3"/>
      <c r="D11" s="21">
        <f t="shared" ref="D11:N11" si="2">AVERAGE(D9:D10)</f>
        <v>5.2249999999999998E-2</v>
      </c>
      <c r="E11" s="21">
        <f t="shared" si="2"/>
        <v>4.5550001785159111E-2</v>
      </c>
      <c r="F11" s="21">
        <f t="shared" si="2"/>
        <v>0.65160000324249268</v>
      </c>
      <c r="G11" s="3">
        <f t="shared" si="2"/>
        <v>2.6928999423980713</v>
      </c>
      <c r="H11" s="3" t="e">
        <f t="shared" si="2"/>
        <v>#DIV/0!</v>
      </c>
      <c r="I11" s="3" t="e">
        <f t="shared" si="2"/>
        <v>#DIV/0!</v>
      </c>
      <c r="J11" s="3" t="e">
        <f t="shared" si="2"/>
        <v>#DIV/0!</v>
      </c>
      <c r="K11" s="3">
        <f t="shared" si="2"/>
        <v>3.461899995803833</v>
      </c>
      <c r="L11" s="60">
        <f t="shared" si="2"/>
        <v>1.761650025844574</v>
      </c>
      <c r="M11" s="3">
        <f t="shared" si="2"/>
        <v>3.8894999027252197</v>
      </c>
      <c r="N11" s="21">
        <f t="shared" si="2"/>
        <v>4.4099999591708183E-2</v>
      </c>
      <c r="P11" s="9">
        <v>9.08999964594841E-2</v>
      </c>
      <c r="Q11" s="6">
        <v>9.2100001871585846E-2</v>
      </c>
      <c r="R11" s="6">
        <f t="shared" si="0"/>
        <v>9.1499999165534973E-2</v>
      </c>
      <c r="S11" s="3">
        <f t="shared" si="1"/>
        <v>3.9249999448657036E-2</v>
      </c>
      <c r="T11" s="3">
        <v>31.25</v>
      </c>
      <c r="AA11" s="101" t="s">
        <v>14</v>
      </c>
      <c r="AB11" s="101"/>
      <c r="AC11" s="101"/>
      <c r="AD11" s="101"/>
      <c r="AE11" s="101" t="s">
        <v>15</v>
      </c>
      <c r="AF11" s="101"/>
      <c r="AG11" s="101"/>
      <c r="AH11" s="101"/>
      <c r="AI11" s="101"/>
      <c r="AJ11" s="101"/>
      <c r="AK11" s="101"/>
      <c r="AL11" s="101"/>
      <c r="AM11" s="101"/>
      <c r="AN11" s="101"/>
      <c r="AO11" t="s">
        <v>14</v>
      </c>
      <c r="AP11"/>
      <c r="AQ11"/>
      <c r="AR11"/>
      <c r="AS11" t="s">
        <v>15</v>
      </c>
      <c r="AT11"/>
      <c r="AU11"/>
      <c r="AV11"/>
      <c r="AW11"/>
      <c r="AX11"/>
      <c r="AY11"/>
      <c r="AZ11"/>
      <c r="BA11"/>
    </row>
    <row r="12" spans="1:53" ht="48" x14ac:dyDescent="0.2">
      <c r="A12" s="5" t="str">
        <f>'VSV eGFP 171013 '!A12</f>
        <v>Background minimal and at times &gt;mock, therefore values used as is, given transformation to fold change</v>
      </c>
      <c r="B12" s="5" t="s">
        <v>16</v>
      </c>
      <c r="C12" s="3"/>
      <c r="D12" s="3"/>
      <c r="E12" s="6">
        <f t="shared" ref="E12:N12" si="3">E11-$R$13</f>
        <v>-6.6999979317188263E-3</v>
      </c>
      <c r="F12" s="6">
        <f t="shared" si="3"/>
        <v>0.59935000352561474</v>
      </c>
      <c r="G12" s="6">
        <f t="shared" si="3"/>
        <v>2.6406499426811934</v>
      </c>
      <c r="H12" s="6" t="e">
        <f t="shared" si="3"/>
        <v>#DIV/0!</v>
      </c>
      <c r="I12" s="6" t="e">
        <f t="shared" si="3"/>
        <v>#DIV/0!</v>
      </c>
      <c r="J12" s="6" t="e">
        <f t="shared" si="3"/>
        <v>#DIV/0!</v>
      </c>
      <c r="K12" s="6">
        <f t="shared" si="3"/>
        <v>3.4096499960869551</v>
      </c>
      <c r="L12" s="58">
        <f t="shared" si="3"/>
        <v>1.709400026127696</v>
      </c>
      <c r="M12" s="6">
        <f t="shared" si="3"/>
        <v>3.8372499030083418</v>
      </c>
      <c r="N12" s="6">
        <f t="shared" si="3"/>
        <v>-8.150000125169754E-3</v>
      </c>
      <c r="P12" s="9">
        <v>7.0900000631809235E-2</v>
      </c>
      <c r="Q12" s="6">
        <v>6.9300003349781036E-2</v>
      </c>
      <c r="R12" s="6">
        <f t="shared" si="0"/>
        <v>7.0100001990795135E-2</v>
      </c>
      <c r="S12" s="3">
        <f t="shared" si="1"/>
        <v>1.7850002273917198E-2</v>
      </c>
      <c r="T12" s="3">
        <v>15.625</v>
      </c>
      <c r="AA12" s="101" t="s">
        <v>17</v>
      </c>
      <c r="AB12" s="101"/>
      <c r="AC12" s="101"/>
      <c r="AD12" s="101"/>
      <c r="AE12" s="101" t="s">
        <v>281</v>
      </c>
      <c r="AF12" s="101"/>
      <c r="AG12" s="101"/>
      <c r="AH12" s="101"/>
      <c r="AI12" s="101"/>
      <c r="AJ12" s="101"/>
      <c r="AK12" s="101"/>
      <c r="AL12" s="101"/>
      <c r="AM12" s="101"/>
      <c r="AN12" s="101"/>
      <c r="AO12" t="s">
        <v>17</v>
      </c>
      <c r="AP12"/>
      <c r="AQ12"/>
      <c r="AR12"/>
      <c r="AS12" t="s">
        <v>191</v>
      </c>
      <c r="AT12"/>
      <c r="AU12"/>
      <c r="AV12"/>
      <c r="AW12"/>
      <c r="AX12"/>
      <c r="AY12"/>
      <c r="AZ12"/>
      <c r="BA12"/>
    </row>
    <row r="13" spans="1:53" ht="16" x14ac:dyDescent="0.2">
      <c r="A13" s="5" t="str">
        <f>'VSV eGFP 171013 '!A13</f>
        <v>Therefore overall</v>
      </c>
      <c r="B13" s="5" t="s">
        <v>18</v>
      </c>
      <c r="C13" s="3"/>
      <c r="D13" s="22">
        <f>D11*612.69</f>
        <v>32.013052500000001</v>
      </c>
      <c r="E13" s="21">
        <f>E11*612.69</f>
        <v>27.908030593749139</v>
      </c>
      <c r="F13" s="21">
        <f t="shared" ref="F13:N13" si="4">F11*612.69</f>
        <v>399.2288059866429</v>
      </c>
      <c r="G13" s="21">
        <f t="shared" si="4"/>
        <v>1649.9128657078745</v>
      </c>
      <c r="H13" s="21" t="e">
        <f t="shared" si="4"/>
        <v>#DIV/0!</v>
      </c>
      <c r="I13" s="21" t="e">
        <f t="shared" si="4"/>
        <v>#DIV/0!</v>
      </c>
      <c r="J13" s="21" t="e">
        <f t="shared" si="4"/>
        <v>#DIV/0!</v>
      </c>
      <c r="K13" s="21">
        <f t="shared" si="4"/>
        <v>2121.0715084290505</v>
      </c>
      <c r="L13" s="21">
        <f t="shared" si="4"/>
        <v>1079.3453543347121</v>
      </c>
      <c r="M13" s="21">
        <f t="shared" si="4"/>
        <v>2383.0576954007151</v>
      </c>
      <c r="N13" s="21">
        <f t="shared" si="4"/>
        <v>27.01962874984369</v>
      </c>
      <c r="P13" s="9">
        <v>5.1100000739097595E-2</v>
      </c>
      <c r="Q13" s="6">
        <v>5.3399998694658279E-2</v>
      </c>
      <c r="R13" s="6">
        <f t="shared" si="0"/>
        <v>5.2249999716877937E-2</v>
      </c>
      <c r="S13" s="3">
        <f t="shared" si="1"/>
        <v>0</v>
      </c>
      <c r="T13" s="3">
        <v>0</v>
      </c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6" x14ac:dyDescent="0.2">
      <c r="A14" s="5">
        <f>'VSV eGFP 171013 '!A14</f>
        <v>0</v>
      </c>
      <c r="B14" s="5">
        <v>0</v>
      </c>
      <c r="AA14" s="101" t="s">
        <v>276</v>
      </c>
      <c r="AB14" s="101"/>
      <c r="AC14" s="101"/>
      <c r="AD14" s="101"/>
      <c r="AE14" s="101">
        <v>1</v>
      </c>
      <c r="AF14" s="101" t="s">
        <v>277</v>
      </c>
      <c r="AG14" s="101"/>
      <c r="AH14" s="101"/>
      <c r="AI14" s="101"/>
      <c r="AJ14" s="101"/>
      <c r="AK14" s="101"/>
      <c r="AL14" s="101"/>
      <c r="AM14" s="101"/>
      <c r="AN14" s="101"/>
      <c r="AO14" t="s">
        <v>276</v>
      </c>
      <c r="AP14"/>
      <c r="AQ14"/>
      <c r="AR14"/>
      <c r="AS14">
        <v>1</v>
      </c>
      <c r="AT14" t="s">
        <v>277</v>
      </c>
      <c r="AU14"/>
      <c r="AV14"/>
      <c r="AW14"/>
      <c r="AX14"/>
      <c r="AY14"/>
      <c r="AZ14"/>
      <c r="BA14"/>
    </row>
    <row r="15" spans="1:53" ht="16" x14ac:dyDescent="0.2">
      <c r="A15" s="5">
        <f>'VSV eGFP 171013 '!A15</f>
        <v>0</v>
      </c>
      <c r="B15" s="5">
        <v>0</v>
      </c>
      <c r="AA15" s="101" t="s">
        <v>278</v>
      </c>
      <c r="AB15" s="101"/>
      <c r="AC15" s="101"/>
      <c r="AD15" s="101"/>
      <c r="AE15" s="101">
        <v>1</v>
      </c>
      <c r="AF15" s="101" t="s">
        <v>279</v>
      </c>
      <c r="AG15" s="101"/>
      <c r="AH15" s="101"/>
      <c r="AI15" s="101"/>
      <c r="AJ15" s="101"/>
      <c r="AK15" s="101"/>
      <c r="AL15" s="101"/>
      <c r="AM15" s="101"/>
      <c r="AN15" s="101"/>
      <c r="AO15" t="s">
        <v>278</v>
      </c>
      <c r="AP15"/>
      <c r="AQ15"/>
      <c r="AR15"/>
      <c r="AS15">
        <v>1</v>
      </c>
      <c r="AT15" t="s">
        <v>279</v>
      </c>
      <c r="AU15"/>
      <c r="AV15"/>
      <c r="AW15"/>
      <c r="AX15"/>
      <c r="AY15"/>
      <c r="AZ15"/>
      <c r="BA15"/>
    </row>
    <row r="16" spans="1:53" ht="16" x14ac:dyDescent="0.2">
      <c r="A16" s="5">
        <f>'VSV eGFP 171013 '!A16</f>
        <v>0</v>
      </c>
      <c r="B16" s="5" t="s">
        <v>19</v>
      </c>
      <c r="C16" s="16" t="s">
        <v>68</v>
      </c>
      <c r="D16" s="16"/>
      <c r="E16" s="6">
        <v>4.2500000447034836E-2</v>
      </c>
      <c r="F16" s="6">
        <v>0.63690000772476196</v>
      </c>
      <c r="G16" s="6">
        <v>2.7385001182556152</v>
      </c>
      <c r="H16" s="6">
        <v>3.6157000064849854</v>
      </c>
      <c r="I16" s="6">
        <v>3.855600118637085</v>
      </c>
      <c r="J16" s="6" t="s">
        <v>13</v>
      </c>
      <c r="K16" s="6">
        <v>3.6677000522613525</v>
      </c>
      <c r="L16" s="58">
        <v>2.0174999237060547</v>
      </c>
      <c r="M16" s="6">
        <v>3.7135999202728271</v>
      </c>
      <c r="N16" s="6">
        <v>4.6100001782178879E-2</v>
      </c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6" x14ac:dyDescent="0.2">
      <c r="A17" s="5">
        <f>'VSV eGFP 171013 '!A17</f>
        <v>0</v>
      </c>
      <c r="B17" s="5" t="s">
        <v>20</v>
      </c>
      <c r="C17" s="16" t="s">
        <v>69</v>
      </c>
      <c r="D17" s="16"/>
      <c r="E17" s="6">
        <v>4.4300001114606857E-2</v>
      </c>
      <c r="F17" s="6">
        <v>0.63209998607635498</v>
      </c>
      <c r="G17" s="6">
        <v>2.8069000244140625</v>
      </c>
      <c r="H17" s="6">
        <v>3.5276000499725342</v>
      </c>
      <c r="I17" s="6">
        <v>3.8889000415802002</v>
      </c>
      <c r="J17" s="6" t="s">
        <v>13</v>
      </c>
      <c r="K17" s="6">
        <v>3.4893999099731445</v>
      </c>
      <c r="L17" s="58">
        <v>2.0088999271392822</v>
      </c>
      <c r="M17" s="6">
        <v>3.6154999732971191</v>
      </c>
      <c r="N17" s="6">
        <v>4.8099998384714127E-2</v>
      </c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6" x14ac:dyDescent="0.2">
      <c r="A18" s="5">
        <f>'VSV eGFP 171013 '!A18</f>
        <v>0</v>
      </c>
      <c r="B18" s="5" t="s">
        <v>12</v>
      </c>
      <c r="C18" s="3"/>
      <c r="D18" s="3"/>
      <c r="E18" s="20">
        <f t="shared" ref="E18:N18" si="5">AVERAGE(E16:E17)</f>
        <v>4.3400000780820847E-2</v>
      </c>
      <c r="F18" s="20">
        <f t="shared" si="5"/>
        <v>0.63449999690055847</v>
      </c>
      <c r="G18" s="6">
        <f t="shared" si="5"/>
        <v>2.7727000713348389</v>
      </c>
      <c r="H18" s="6">
        <f t="shared" si="5"/>
        <v>3.5716500282287598</v>
      </c>
      <c r="I18" s="6">
        <f t="shared" si="5"/>
        <v>3.8722500801086426</v>
      </c>
      <c r="J18" s="6" t="e">
        <f t="shared" si="5"/>
        <v>#DIV/0!</v>
      </c>
      <c r="K18" s="6">
        <f t="shared" si="5"/>
        <v>3.5785499811172485</v>
      </c>
      <c r="L18" s="58">
        <f t="shared" si="5"/>
        <v>2.0131999254226685</v>
      </c>
      <c r="M18" s="6">
        <f t="shared" si="5"/>
        <v>3.6645499467849731</v>
      </c>
      <c r="N18" s="20">
        <f t="shared" si="5"/>
        <v>4.7100000083446503E-2</v>
      </c>
      <c r="AA18" s="101" t="s">
        <v>192</v>
      </c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t="s">
        <v>192</v>
      </c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6" x14ac:dyDescent="0.2">
      <c r="A19" s="5">
        <f>'VSV eGFP 171013 '!A19</f>
        <v>0</v>
      </c>
      <c r="B19" s="5" t="s">
        <v>16</v>
      </c>
      <c r="C19" s="3"/>
      <c r="D19" s="3"/>
      <c r="E19" s="6">
        <f t="shared" ref="E19:N19" si="6">E18-$R$13</f>
        <v>-8.8499989360570908E-3</v>
      </c>
      <c r="F19" s="6">
        <f t="shared" si="6"/>
        <v>0.58224999718368053</v>
      </c>
      <c r="G19" s="6">
        <f t="shared" si="6"/>
        <v>2.7204500716179609</v>
      </c>
      <c r="H19" s="6">
        <f t="shared" si="6"/>
        <v>3.5194000285118818</v>
      </c>
      <c r="I19" s="6">
        <f t="shared" si="6"/>
        <v>3.8200000803917646</v>
      </c>
      <c r="J19" s="6" t="e">
        <f t="shared" si="6"/>
        <v>#DIV/0!</v>
      </c>
      <c r="K19" s="6">
        <f t="shared" si="6"/>
        <v>3.5262999814003706</v>
      </c>
      <c r="L19" s="58">
        <f t="shared" si="6"/>
        <v>1.9609499257057905</v>
      </c>
      <c r="M19" s="6">
        <f t="shared" si="6"/>
        <v>3.6122999470680952</v>
      </c>
      <c r="N19" s="6">
        <f t="shared" si="6"/>
        <v>-5.1499996334314346E-3</v>
      </c>
      <c r="AA19" s="101" t="s">
        <v>21</v>
      </c>
      <c r="AB19" s="101"/>
      <c r="AC19" s="101"/>
      <c r="AD19" s="101"/>
      <c r="AE19" s="101" t="s">
        <v>22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t="s">
        <v>21</v>
      </c>
      <c r="AP19"/>
      <c r="AQ19"/>
      <c r="AR19"/>
      <c r="AS19" t="s">
        <v>22</v>
      </c>
      <c r="AT19"/>
      <c r="AU19"/>
      <c r="AV19"/>
      <c r="AW19"/>
      <c r="AX19"/>
      <c r="AY19"/>
      <c r="AZ19"/>
      <c r="BA19"/>
    </row>
    <row r="20" spans="1:53" ht="16" x14ac:dyDescent="0.2">
      <c r="A20" s="5">
        <f>'VSV eGFP 171013 '!A20</f>
        <v>0</v>
      </c>
      <c r="B20" s="5" t="s">
        <v>18</v>
      </c>
      <c r="C20" s="3"/>
      <c r="D20" s="3"/>
      <c r="E20" s="21">
        <f>E18*612.69</f>
        <v>26.590746478401126</v>
      </c>
      <c r="F20" s="21">
        <f t="shared" ref="F20:N20" si="7">F18*612.69</f>
        <v>388.75180310100319</v>
      </c>
      <c r="G20" s="21">
        <f t="shared" si="7"/>
        <v>1698.8056067061425</v>
      </c>
      <c r="H20" s="21">
        <f t="shared" si="7"/>
        <v>2188.3142557954789</v>
      </c>
      <c r="I20" s="21">
        <f t="shared" si="7"/>
        <v>2372.4889015817644</v>
      </c>
      <c r="J20" s="21" t="e">
        <f t="shared" si="7"/>
        <v>#DIV/0!</v>
      </c>
      <c r="K20" s="21">
        <f t="shared" si="7"/>
        <v>2192.5417879307274</v>
      </c>
      <c r="L20" s="21">
        <f t="shared" si="7"/>
        <v>1233.4674623072149</v>
      </c>
      <c r="M20" s="21">
        <f t="shared" si="7"/>
        <v>2245.2331068956855</v>
      </c>
      <c r="N20" s="21">
        <f t="shared" si="7"/>
        <v>28.85769905112684</v>
      </c>
      <c r="AA20" s="101" t="s">
        <v>23</v>
      </c>
      <c r="AB20" s="101"/>
      <c r="AC20" s="101"/>
      <c r="AD20" s="101"/>
      <c r="AE20" s="101">
        <v>450</v>
      </c>
      <c r="AF20" s="101" t="s">
        <v>24</v>
      </c>
      <c r="AG20" s="101"/>
      <c r="AH20" s="101"/>
      <c r="AI20" s="101"/>
      <c r="AJ20" s="101"/>
      <c r="AK20" s="101"/>
      <c r="AL20" s="101"/>
      <c r="AM20" s="101"/>
      <c r="AN20" s="101"/>
      <c r="AO20" t="s">
        <v>23</v>
      </c>
      <c r="AP20"/>
      <c r="AQ20"/>
      <c r="AR20"/>
      <c r="AS20">
        <v>450</v>
      </c>
      <c r="AT20" t="s">
        <v>24</v>
      </c>
      <c r="AU20"/>
      <c r="AV20"/>
      <c r="AW20"/>
      <c r="AX20"/>
      <c r="AY20"/>
      <c r="AZ20"/>
      <c r="BA20"/>
    </row>
    <row r="21" spans="1:53" ht="16" x14ac:dyDescent="0.2">
      <c r="A21" s="5">
        <f>'VSV eGFP 171013 '!A21</f>
        <v>0</v>
      </c>
      <c r="B21" s="5" t="s">
        <v>183</v>
      </c>
      <c r="G21" t="s">
        <v>56</v>
      </c>
      <c r="H21" t="s">
        <v>57</v>
      </c>
      <c r="I21" t="s">
        <v>58</v>
      </c>
      <c r="J21" t="s">
        <v>59</v>
      </c>
      <c r="K21" t="s">
        <v>60</v>
      </c>
      <c r="L21" t="s">
        <v>61</v>
      </c>
      <c r="M21" t="s">
        <v>62</v>
      </c>
      <c r="AA21" s="101" t="s">
        <v>25</v>
      </c>
      <c r="AB21" s="101"/>
      <c r="AC21" s="101"/>
      <c r="AD21" s="101"/>
      <c r="AE21" s="101">
        <v>10</v>
      </c>
      <c r="AF21" s="101" t="s">
        <v>24</v>
      </c>
      <c r="AG21" s="101"/>
      <c r="AH21" s="101"/>
      <c r="AI21" s="101"/>
      <c r="AJ21" s="101"/>
      <c r="AK21" s="101"/>
      <c r="AL21" s="101"/>
      <c r="AM21" s="101"/>
      <c r="AN21" s="101"/>
      <c r="AO21" t="s">
        <v>25</v>
      </c>
      <c r="AP21"/>
      <c r="AQ21"/>
      <c r="AR21"/>
      <c r="AS21">
        <v>10</v>
      </c>
      <c r="AT21" t="s">
        <v>24</v>
      </c>
      <c r="AU21"/>
      <c r="AV21"/>
      <c r="AW21"/>
      <c r="AX21"/>
      <c r="AY21"/>
      <c r="AZ21"/>
      <c r="BA21"/>
    </row>
    <row r="22" spans="1:53" ht="16" x14ac:dyDescent="0.2">
      <c r="A22" s="5">
        <f>'VSV eGFP 171013 '!A22</f>
        <v>0</v>
      </c>
      <c r="B22" s="6" t="s">
        <v>164</v>
      </c>
      <c r="D22" s="6">
        <v>1</v>
      </c>
      <c r="E22" s="6">
        <v>1</v>
      </c>
      <c r="F22" s="6">
        <v>1</v>
      </c>
      <c r="G22" s="6">
        <v>4</v>
      </c>
      <c r="H22" s="6">
        <v>4</v>
      </c>
      <c r="I22" s="6">
        <v>4</v>
      </c>
      <c r="J22" s="6">
        <v>4</v>
      </c>
      <c r="K22" s="6">
        <v>4</v>
      </c>
      <c r="L22" s="58">
        <v>4</v>
      </c>
      <c r="M22" s="6">
        <v>4</v>
      </c>
      <c r="AA22" s="101" t="s">
        <v>26</v>
      </c>
      <c r="AB22" s="101"/>
      <c r="AC22" s="101"/>
      <c r="AD22" s="101"/>
      <c r="AE22" s="101">
        <v>570</v>
      </c>
      <c r="AF22" s="101" t="s">
        <v>24</v>
      </c>
      <c r="AG22" s="101"/>
      <c r="AH22" s="101"/>
      <c r="AI22" s="101"/>
      <c r="AJ22" s="101"/>
      <c r="AK22" s="101"/>
      <c r="AL22" s="101"/>
      <c r="AM22" s="101"/>
      <c r="AN22" s="101"/>
      <c r="AO22" t="s">
        <v>26</v>
      </c>
      <c r="AP22"/>
      <c r="AQ22"/>
      <c r="AR22"/>
      <c r="AS22">
        <v>570</v>
      </c>
      <c r="AT22" t="s">
        <v>24</v>
      </c>
      <c r="AU22"/>
      <c r="AV22"/>
      <c r="AW22"/>
      <c r="AX22"/>
      <c r="AY22"/>
      <c r="AZ22"/>
      <c r="BA22"/>
    </row>
    <row r="23" spans="1:53" ht="16" x14ac:dyDescent="0.2">
      <c r="A23" s="5">
        <f>'VSV eGFP 171013 '!A23</f>
        <v>0</v>
      </c>
      <c r="B23" s="5" t="s">
        <v>27</v>
      </c>
      <c r="D23" s="6">
        <f>U30</f>
        <v>1.985E-2</v>
      </c>
      <c r="G23" s="96">
        <v>0.44350000000000001</v>
      </c>
      <c r="H23" s="96">
        <v>0.74</v>
      </c>
      <c r="I23" s="96">
        <v>0.77690000000000003</v>
      </c>
      <c r="J23" s="96">
        <v>0.87760000000000005</v>
      </c>
      <c r="K23" s="96">
        <v>0.66910000000000003</v>
      </c>
      <c r="L23" s="96">
        <v>0.38740000000000002</v>
      </c>
      <c r="M23" s="96">
        <v>0.65380000000000005</v>
      </c>
      <c r="AA23" s="101" t="s">
        <v>25</v>
      </c>
      <c r="AB23" s="101"/>
      <c r="AC23" s="101"/>
      <c r="AD23" s="101"/>
      <c r="AE23" s="101">
        <v>10</v>
      </c>
      <c r="AF23" s="101" t="s">
        <v>24</v>
      </c>
      <c r="AG23" s="101"/>
      <c r="AH23" s="101"/>
      <c r="AI23" s="101"/>
      <c r="AJ23" s="101"/>
      <c r="AK23" s="101"/>
      <c r="AL23" s="101"/>
      <c r="AM23" s="101"/>
      <c r="AN23" s="101"/>
      <c r="AO23" t="s">
        <v>25</v>
      </c>
      <c r="AP23"/>
      <c r="AQ23"/>
      <c r="AR23"/>
      <c r="AS23">
        <v>10</v>
      </c>
      <c r="AT23" t="s">
        <v>24</v>
      </c>
      <c r="AU23"/>
      <c r="AV23"/>
      <c r="AW23"/>
      <c r="AX23"/>
      <c r="AY23"/>
      <c r="AZ23"/>
      <c r="BA23"/>
    </row>
    <row r="24" spans="1:53" ht="16" x14ac:dyDescent="0.2">
      <c r="A24" s="5">
        <f>'VSV eGFP 171013 '!A24</f>
        <v>0</v>
      </c>
      <c r="B24" s="5" t="s">
        <v>29</v>
      </c>
      <c r="G24" s="96">
        <v>0.43659999999999999</v>
      </c>
      <c r="H24" s="96">
        <v>0.76500000000000001</v>
      </c>
      <c r="I24" s="96">
        <v>0.70179999999999998</v>
      </c>
      <c r="J24" s="96">
        <v>0.84250000000000003</v>
      </c>
      <c r="K24" s="96">
        <v>0.66610000000000003</v>
      </c>
      <c r="L24" s="96">
        <v>0.34799999999999998</v>
      </c>
      <c r="M24" s="96">
        <v>0.63970000000000005</v>
      </c>
      <c r="AA24" s="101" t="s">
        <v>28</v>
      </c>
      <c r="AB24" s="101"/>
      <c r="AC24" s="101"/>
      <c r="AD24" s="101"/>
      <c r="AE24" s="101">
        <v>25</v>
      </c>
      <c r="AF24" s="101"/>
      <c r="AG24" s="101"/>
      <c r="AH24" s="101"/>
      <c r="AI24" s="101"/>
      <c r="AJ24" s="101"/>
      <c r="AK24" s="101"/>
      <c r="AL24" s="101"/>
      <c r="AM24" s="101"/>
      <c r="AN24" s="101"/>
      <c r="AO24" t="s">
        <v>28</v>
      </c>
      <c r="AP24"/>
      <c r="AQ24"/>
      <c r="AR24"/>
      <c r="AS24">
        <v>25</v>
      </c>
      <c r="AT24"/>
      <c r="AU24"/>
      <c r="AV24"/>
      <c r="AW24"/>
      <c r="AX24"/>
      <c r="AY24"/>
      <c r="AZ24"/>
      <c r="BA24"/>
    </row>
    <row r="25" spans="1:53" ht="16" x14ac:dyDescent="0.2">
      <c r="A25" s="5">
        <f>'VSV eGFP 171013 '!A25</f>
        <v>0</v>
      </c>
      <c r="B25" s="5" t="s">
        <v>12</v>
      </c>
      <c r="D25" s="6">
        <f>AVERAGE(D23:D24)</f>
        <v>1.985E-2</v>
      </c>
      <c r="G25" s="6">
        <f>AVERAGE(G23:G24)</f>
        <v>0.44005</v>
      </c>
      <c r="H25" s="6">
        <f t="shared" ref="H25:M25" si="8">AVERAGE(H23:H24)</f>
        <v>0.75249999999999995</v>
      </c>
      <c r="I25" s="6">
        <f t="shared" si="8"/>
        <v>0.73934999999999995</v>
      </c>
      <c r="J25" s="6">
        <f t="shared" si="8"/>
        <v>0.86004999999999998</v>
      </c>
      <c r="K25" s="6">
        <f t="shared" si="8"/>
        <v>0.66759999999999997</v>
      </c>
      <c r="L25" s="6">
        <f t="shared" si="8"/>
        <v>0.36770000000000003</v>
      </c>
      <c r="M25" s="6">
        <f t="shared" si="8"/>
        <v>0.64675000000000005</v>
      </c>
      <c r="AA25" s="101" t="s">
        <v>30</v>
      </c>
      <c r="AB25" s="101"/>
      <c r="AC25" s="101"/>
      <c r="AD25" s="101"/>
      <c r="AE25" s="101">
        <v>0</v>
      </c>
      <c r="AF25" s="101" t="s">
        <v>31</v>
      </c>
      <c r="AG25" s="101"/>
      <c r="AH25" s="101"/>
      <c r="AI25" s="101"/>
      <c r="AJ25" s="101"/>
      <c r="AK25" s="101"/>
      <c r="AL25" s="101"/>
      <c r="AM25" s="101"/>
      <c r="AN25" s="101"/>
      <c r="AO25" t="s">
        <v>30</v>
      </c>
      <c r="AP25"/>
      <c r="AQ25"/>
      <c r="AR25"/>
      <c r="AS25">
        <v>0</v>
      </c>
      <c r="AT25" t="s">
        <v>31</v>
      </c>
      <c r="AU25"/>
      <c r="AV25"/>
      <c r="AW25"/>
      <c r="AX25"/>
      <c r="AY25"/>
      <c r="AZ25"/>
      <c r="BA25"/>
    </row>
    <row r="26" spans="1:53" ht="16" x14ac:dyDescent="0.2">
      <c r="A26" s="5">
        <f>'VSV eGFP 171013 '!A26</f>
        <v>0</v>
      </c>
      <c r="B26" s="5" t="s">
        <v>16</v>
      </c>
      <c r="AA26" s="101" t="s">
        <v>32</v>
      </c>
      <c r="AB26" s="104">
        <v>43112.675428240742</v>
      </c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t="s">
        <v>32</v>
      </c>
      <c r="AP26" s="95">
        <v>43104.770486111112</v>
      </c>
      <c r="AQ26"/>
      <c r="AR26"/>
      <c r="AS26"/>
      <c r="AT26"/>
      <c r="AU26"/>
      <c r="AV26"/>
      <c r="AW26"/>
      <c r="AX26"/>
      <c r="AY26"/>
      <c r="AZ26"/>
      <c r="BA26"/>
    </row>
    <row r="27" spans="1:53" ht="16" x14ac:dyDescent="0.2">
      <c r="A27" s="5">
        <f>'VSV eGFP 171013 '!A27</f>
        <v>0</v>
      </c>
      <c r="B27" s="5" t="s">
        <v>18</v>
      </c>
      <c r="D27" s="71">
        <f>D25*D8</f>
        <v>1.985E-2</v>
      </c>
      <c r="G27" s="71">
        <f>G25*G$22</f>
        <v>1.7602</v>
      </c>
      <c r="H27" s="71">
        <f t="shared" ref="H27:M27" si="9">H25*$G22</f>
        <v>3.01</v>
      </c>
      <c r="I27" s="71">
        <f t="shared" si="9"/>
        <v>2.9573999999999998</v>
      </c>
      <c r="J27" s="71">
        <f t="shared" si="9"/>
        <v>3.4401999999999999</v>
      </c>
      <c r="K27" s="71">
        <f t="shared" si="9"/>
        <v>2.6703999999999999</v>
      </c>
      <c r="L27" s="71">
        <f t="shared" si="9"/>
        <v>1.4708000000000001</v>
      </c>
      <c r="M27" s="71">
        <f t="shared" si="9"/>
        <v>2.5870000000000002</v>
      </c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6" x14ac:dyDescent="0.2">
      <c r="A28" s="5">
        <f>'VSV eGFP 171013 '!A28</f>
        <v>0</v>
      </c>
      <c r="B28" s="5">
        <v>0</v>
      </c>
      <c r="AA28" s="101"/>
      <c r="AB28" s="101" t="s">
        <v>282</v>
      </c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/>
      <c r="AP28" t="s">
        <v>280</v>
      </c>
      <c r="AQ28"/>
      <c r="AR28"/>
      <c r="AS28"/>
      <c r="AT28"/>
      <c r="AU28"/>
      <c r="AV28"/>
      <c r="AW28"/>
      <c r="AX28"/>
      <c r="AY28"/>
      <c r="AZ28"/>
      <c r="BA28"/>
    </row>
    <row r="29" spans="1:53" ht="16" x14ac:dyDescent="0.2">
      <c r="A29" s="5">
        <f>'VSV eGFP 171013 '!A29</f>
        <v>0</v>
      </c>
      <c r="B29" s="5">
        <v>0</v>
      </c>
      <c r="U29" s="6" t="s">
        <v>163</v>
      </c>
      <c r="V29" s="3" t="s">
        <v>64</v>
      </c>
      <c r="W29" s="3" t="s">
        <v>65</v>
      </c>
      <c r="AA29" s="101" t="s">
        <v>35</v>
      </c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t="s">
        <v>35</v>
      </c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6" x14ac:dyDescent="0.2">
      <c r="A30" s="5">
        <f>'VSV eGFP 171013 '!A30</f>
        <v>0</v>
      </c>
      <c r="B30" s="5" t="s">
        <v>36</v>
      </c>
      <c r="G30" s="96">
        <v>0.43559999999999999</v>
      </c>
      <c r="H30" s="96">
        <v>0.56859999999999999</v>
      </c>
      <c r="I30" s="96">
        <v>0.64859999999999995</v>
      </c>
      <c r="J30" s="96">
        <v>0.97299999999999998</v>
      </c>
      <c r="K30" s="96">
        <v>0.55259999999999998</v>
      </c>
      <c r="L30" s="96">
        <v>0.30180000000000001</v>
      </c>
      <c r="M30" s="96">
        <v>0.65990000000000004</v>
      </c>
      <c r="P30" s="9">
        <v>1.4357000589370701</v>
      </c>
      <c r="Q30" s="6">
        <v>1.3996000289916992</v>
      </c>
      <c r="R30" s="6">
        <f>AVERAGE(P30:Q30)</f>
        <v>1.4176500439643847</v>
      </c>
      <c r="S30" s="6">
        <f>R30-$Z$17</f>
        <v>1.4176500439643847</v>
      </c>
      <c r="T30" s="6">
        <v>1000</v>
      </c>
      <c r="U30" s="6">
        <v>1.985E-2</v>
      </c>
      <c r="V30" s="6">
        <v>725.98</v>
      </c>
      <c r="W30" s="6">
        <v>0.99870000000000003</v>
      </c>
      <c r="AA30" s="101" t="s">
        <v>37</v>
      </c>
      <c r="AB30" s="101">
        <v>1</v>
      </c>
      <c r="AC30" s="101">
        <v>2</v>
      </c>
      <c r="AD30" s="101">
        <v>3</v>
      </c>
      <c r="AE30" s="101">
        <v>4</v>
      </c>
      <c r="AF30" s="101">
        <v>5</v>
      </c>
      <c r="AG30" s="101">
        <v>6</v>
      </c>
      <c r="AH30" s="101">
        <v>7</v>
      </c>
      <c r="AI30" s="101">
        <v>8</v>
      </c>
      <c r="AJ30" s="101">
        <v>9</v>
      </c>
      <c r="AK30" s="101">
        <v>10</v>
      </c>
      <c r="AL30" s="101">
        <v>11</v>
      </c>
      <c r="AM30" s="101">
        <v>12</v>
      </c>
      <c r="AN30" s="101"/>
      <c r="AO30" t="s">
        <v>37</v>
      </c>
      <c r="AP30">
        <v>1</v>
      </c>
      <c r="AQ30">
        <v>2</v>
      </c>
      <c r="AR30">
        <v>3</v>
      </c>
      <c r="AS30">
        <v>4</v>
      </c>
      <c r="AT30">
        <v>5</v>
      </c>
      <c r="AU30">
        <v>6</v>
      </c>
      <c r="AV30">
        <v>7</v>
      </c>
      <c r="AW30">
        <v>8</v>
      </c>
      <c r="AX30">
        <v>9</v>
      </c>
      <c r="AY30">
        <v>10</v>
      </c>
      <c r="AZ30">
        <v>11</v>
      </c>
      <c r="BA30">
        <v>12</v>
      </c>
    </row>
    <row r="31" spans="1:53" ht="16" x14ac:dyDescent="0.2">
      <c r="A31" s="5">
        <f>'VSV eGFP 171013 '!A31</f>
        <v>0</v>
      </c>
      <c r="B31" s="5" t="s">
        <v>38</v>
      </c>
      <c r="G31" s="96">
        <v>0.41349999999999998</v>
      </c>
      <c r="H31" s="96">
        <v>0.55779999999999996</v>
      </c>
      <c r="I31" s="96">
        <v>0.6482</v>
      </c>
      <c r="J31" s="96">
        <v>0.92559999999999998</v>
      </c>
      <c r="K31" s="96">
        <v>0.54479999999999995</v>
      </c>
      <c r="L31" s="96">
        <v>0.27739999999999998</v>
      </c>
      <c r="M31" s="96">
        <v>0.64459999999999995</v>
      </c>
      <c r="P31" s="9">
        <v>0.65780001878738403</v>
      </c>
      <c r="Q31" s="6">
        <v>0.70469999313354492</v>
      </c>
      <c r="R31" s="6">
        <f>AVERAGE(P31:Q31)</f>
        <v>0.68125000596046448</v>
      </c>
      <c r="S31" s="6">
        <f>R31-$Z$17</f>
        <v>0.68125000596046448</v>
      </c>
      <c r="T31" s="6">
        <v>500</v>
      </c>
      <c r="AA31" s="101" t="s">
        <v>39</v>
      </c>
      <c r="AB31" s="101">
        <v>0.4839</v>
      </c>
      <c r="AC31" s="101">
        <v>0.78080000000000005</v>
      </c>
      <c r="AD31" s="101">
        <v>0.81940000000000002</v>
      </c>
      <c r="AE31" s="101">
        <v>0.92030000000000001</v>
      </c>
      <c r="AF31" s="101">
        <v>0.69399999999999995</v>
      </c>
      <c r="AG31" s="101">
        <v>0.70960000000000001</v>
      </c>
      <c r="AH31" s="101">
        <v>0.4274</v>
      </c>
      <c r="AI31" s="101">
        <v>0.62880000000000003</v>
      </c>
      <c r="AJ31" s="101">
        <v>0.78369999999999995</v>
      </c>
      <c r="AK31" s="101">
        <v>0.72619999999999996</v>
      </c>
      <c r="AL31" s="101">
        <v>1.4803999999999999</v>
      </c>
      <c r="AM31" s="101">
        <v>1.4438</v>
      </c>
      <c r="AN31" s="101"/>
      <c r="AO31" t="s">
        <v>39</v>
      </c>
      <c r="AP31">
        <v>8.5400000000000004E-2</v>
      </c>
      <c r="AQ31">
        <v>0.45689999999999997</v>
      </c>
      <c r="AR31">
        <v>1.3758999999999999</v>
      </c>
      <c r="AS31">
        <v>1.6033999999999999</v>
      </c>
      <c r="AT31">
        <v>2.3618000000000001</v>
      </c>
      <c r="AU31">
        <v>2.1526999999999998</v>
      </c>
      <c r="AV31">
        <v>8.2600000000000007E-2</v>
      </c>
      <c r="AW31">
        <v>2.0413999999999999</v>
      </c>
      <c r="AX31">
        <v>2.3536000000000001</v>
      </c>
      <c r="AY31">
        <v>1.9117999999999999</v>
      </c>
      <c r="AZ31">
        <v>1.7895000000000001</v>
      </c>
      <c r="BA31">
        <v>1.7677</v>
      </c>
    </row>
    <row r="32" spans="1:53" ht="16" x14ac:dyDescent="0.2">
      <c r="A32" s="5">
        <f>'VSV eGFP 171013 '!A32</f>
        <v>0</v>
      </c>
      <c r="B32" s="5" t="s">
        <v>12</v>
      </c>
      <c r="G32" s="6">
        <f>AVERAGE(G30:G31)</f>
        <v>0.42454999999999998</v>
      </c>
      <c r="H32" s="6">
        <f t="shared" ref="H32" si="10">AVERAGE(H30:H31)</f>
        <v>0.56319999999999992</v>
      </c>
      <c r="I32" s="6">
        <f t="shared" ref="I32" si="11">AVERAGE(I30:I31)</f>
        <v>0.64839999999999998</v>
      </c>
      <c r="J32" s="6">
        <f t="shared" ref="J32" si="12">AVERAGE(J30:J31)</f>
        <v>0.94930000000000003</v>
      </c>
      <c r="K32" s="6">
        <f t="shared" ref="K32" si="13">AVERAGE(K30:K31)</f>
        <v>0.54869999999999997</v>
      </c>
      <c r="L32" s="6">
        <f t="shared" ref="L32" si="14">AVERAGE(L30:L31)</f>
        <v>0.28959999999999997</v>
      </c>
      <c r="M32" s="6">
        <f t="shared" ref="M32" si="15">AVERAGE(M30:M31)</f>
        <v>0.65225</v>
      </c>
      <c r="P32" s="9">
        <v>0.33730000257492065</v>
      </c>
      <c r="Q32" s="6">
        <v>0.34709998965263367</v>
      </c>
      <c r="R32" s="6">
        <f>AVERAGE(P32:Q32)</f>
        <v>0.34219999611377716</v>
      </c>
      <c r="S32" s="6">
        <f>R32-$Z$17</f>
        <v>0.34219999611377716</v>
      </c>
      <c r="T32" s="6">
        <v>250</v>
      </c>
      <c r="AA32" s="101" t="s">
        <v>40</v>
      </c>
      <c r="AB32" s="101">
        <v>0.4783</v>
      </c>
      <c r="AC32" s="101">
        <v>0.80669999999999997</v>
      </c>
      <c r="AD32" s="101">
        <v>0.74160000000000004</v>
      </c>
      <c r="AE32" s="101">
        <v>0.88329999999999997</v>
      </c>
      <c r="AF32" s="101">
        <v>0.68059999999999998</v>
      </c>
      <c r="AG32" s="101">
        <v>0.70660000000000001</v>
      </c>
      <c r="AH32" s="101">
        <v>0.3876</v>
      </c>
      <c r="AI32" s="101">
        <v>0.62670000000000003</v>
      </c>
      <c r="AJ32" s="101">
        <v>0.80079999999999996</v>
      </c>
      <c r="AK32" s="101">
        <v>0.748</v>
      </c>
      <c r="AL32" s="101">
        <v>0.69889999999999997</v>
      </c>
      <c r="AM32" s="101">
        <v>0.74650000000000005</v>
      </c>
      <c r="AN32" s="101"/>
      <c r="AO32" t="s">
        <v>40</v>
      </c>
      <c r="AP32">
        <v>8.1600000000000006E-2</v>
      </c>
      <c r="AQ32">
        <v>0.45979999999999999</v>
      </c>
      <c r="AR32">
        <v>1.4187000000000001</v>
      </c>
      <c r="AS32">
        <v>1.6737</v>
      </c>
      <c r="AT32">
        <v>2.3128000000000002</v>
      </c>
      <c r="AU32">
        <v>2.1254</v>
      </c>
      <c r="AV32">
        <v>8.7599999999999997E-2</v>
      </c>
      <c r="AW32">
        <v>1.9510000000000001</v>
      </c>
      <c r="AX32">
        <v>2.3927</v>
      </c>
      <c r="AY32">
        <v>1.9077999999999999</v>
      </c>
      <c r="AZ32">
        <v>0.81340000000000001</v>
      </c>
      <c r="BA32">
        <v>0.85719999999999996</v>
      </c>
    </row>
    <row r="33" spans="1:53" ht="16" x14ac:dyDescent="0.2">
      <c r="A33" s="5">
        <f>'VSV eGFP 171013 '!A33</f>
        <v>0</v>
      </c>
      <c r="B33" s="5" t="s">
        <v>16</v>
      </c>
      <c r="P33" s="9">
        <v>0.17509999871253967</v>
      </c>
      <c r="Q33" s="6">
        <v>0.18219999969005585</v>
      </c>
      <c r="R33" s="6">
        <f>AVERAGE(P33:Q33)</f>
        <v>0.17864999920129776</v>
      </c>
      <c r="S33" s="6">
        <f>R33-$Z$17</f>
        <v>0.17864999920129776</v>
      </c>
      <c r="T33" s="6">
        <v>125</v>
      </c>
      <c r="AA33" s="101" t="s">
        <v>41</v>
      </c>
      <c r="AB33" s="101">
        <v>0.47570000000000001</v>
      </c>
      <c r="AC33" s="101">
        <v>0.61009999999999998</v>
      </c>
      <c r="AD33" s="101">
        <v>0.68959999999999999</v>
      </c>
      <c r="AE33" s="101">
        <v>1.0183</v>
      </c>
      <c r="AF33" s="101">
        <v>0.70609999999999995</v>
      </c>
      <c r="AG33" s="101">
        <v>0.59470000000000001</v>
      </c>
      <c r="AH33" s="101">
        <v>0.34429999999999999</v>
      </c>
      <c r="AI33" s="101">
        <v>0.59550000000000003</v>
      </c>
      <c r="AJ33" s="101">
        <v>0.65290000000000004</v>
      </c>
      <c r="AK33" s="101">
        <v>0.74639999999999995</v>
      </c>
      <c r="AL33" s="101">
        <v>0.37669999999999998</v>
      </c>
      <c r="AM33" s="101">
        <v>0.38679999999999998</v>
      </c>
      <c r="AN33" s="101"/>
      <c r="AO33" t="s">
        <v>41</v>
      </c>
      <c r="AP33">
        <v>8.1100000000000005E-2</v>
      </c>
      <c r="AQ33">
        <v>0.4627</v>
      </c>
      <c r="AR33">
        <v>1.3638999999999999</v>
      </c>
      <c r="AS33">
        <v>1.7618</v>
      </c>
      <c r="AT33">
        <v>1.9910000000000001</v>
      </c>
      <c r="AU33">
        <v>2.3307000000000002</v>
      </c>
      <c r="AV33">
        <v>0.08</v>
      </c>
      <c r="AW33">
        <v>2.2252000000000001</v>
      </c>
      <c r="AX33">
        <v>1.5091000000000001</v>
      </c>
      <c r="AY33">
        <v>0.76829999999999998</v>
      </c>
      <c r="AZ33">
        <v>0.46250000000000002</v>
      </c>
      <c r="BA33">
        <v>0.4304</v>
      </c>
    </row>
    <row r="34" spans="1:53" ht="16" x14ac:dyDescent="0.2">
      <c r="A34" s="5">
        <f>'VSV eGFP 171013 '!A34</f>
        <v>0</v>
      </c>
      <c r="B34" s="5" t="s">
        <v>18</v>
      </c>
      <c r="G34" s="71">
        <f>G32*G$22</f>
        <v>1.6981999999999999</v>
      </c>
      <c r="H34" s="71">
        <f t="shared" ref="H34:M34" si="16">H32*H$22</f>
        <v>2.2527999999999997</v>
      </c>
      <c r="I34" s="71">
        <f t="shared" si="16"/>
        <v>2.5935999999999999</v>
      </c>
      <c r="J34" s="71">
        <f t="shared" si="16"/>
        <v>3.7972000000000001</v>
      </c>
      <c r="K34" s="71">
        <f t="shared" si="16"/>
        <v>2.1947999999999999</v>
      </c>
      <c r="L34" s="71">
        <f t="shared" si="16"/>
        <v>1.1583999999999999</v>
      </c>
      <c r="M34" s="71">
        <f t="shared" si="16"/>
        <v>2.609</v>
      </c>
      <c r="P34" s="9">
        <v>9.0099997818470001E-2</v>
      </c>
      <c r="Q34" s="6">
        <v>9.9699996411800385E-2</v>
      </c>
      <c r="R34" s="6">
        <f>AVERAGE(P34:Q34)</f>
        <v>9.4899997115135193E-2</v>
      </c>
      <c r="S34" s="6">
        <f>R34-$Z$17</f>
        <v>9.4899997115135193E-2</v>
      </c>
      <c r="T34" s="6">
        <v>62.5</v>
      </c>
      <c r="AA34" s="101" t="s">
        <v>42</v>
      </c>
      <c r="AB34" s="101">
        <v>0.45340000000000003</v>
      </c>
      <c r="AC34" s="101">
        <v>0.5978</v>
      </c>
      <c r="AD34" s="101">
        <v>0.6905</v>
      </c>
      <c r="AE34" s="101">
        <v>0.96809999999999996</v>
      </c>
      <c r="AF34" s="101">
        <v>0.68500000000000005</v>
      </c>
      <c r="AG34" s="101">
        <v>0.58430000000000004</v>
      </c>
      <c r="AH34" s="101">
        <v>0.31630000000000003</v>
      </c>
      <c r="AI34" s="101">
        <v>0.58160000000000001</v>
      </c>
      <c r="AJ34" s="101">
        <v>0.62270000000000003</v>
      </c>
      <c r="AK34" s="101">
        <v>0.747</v>
      </c>
      <c r="AL34" s="101">
        <v>0.21360000000000001</v>
      </c>
      <c r="AM34" s="101">
        <v>0.2218</v>
      </c>
      <c r="AN34" s="101"/>
      <c r="AO34" t="s">
        <v>42</v>
      </c>
      <c r="AP34">
        <v>8.0799999999999997E-2</v>
      </c>
      <c r="AQ34">
        <v>0.51739999999999997</v>
      </c>
      <c r="AR34">
        <v>1.3394999999999999</v>
      </c>
      <c r="AS34">
        <v>1.8030999999999999</v>
      </c>
      <c r="AT34">
        <v>1.9733000000000001</v>
      </c>
      <c r="AU34">
        <v>2.4098999999999999</v>
      </c>
      <c r="AV34">
        <v>7.9600000000000004E-2</v>
      </c>
      <c r="AW34">
        <v>2.2503000000000002</v>
      </c>
      <c r="AX34">
        <v>1.5662</v>
      </c>
      <c r="AY34">
        <v>0.78490000000000004</v>
      </c>
      <c r="AZ34">
        <v>0.27929999999999999</v>
      </c>
      <c r="BA34">
        <v>0.2591</v>
      </c>
    </row>
    <row r="35" spans="1:53" ht="16" x14ac:dyDescent="0.2">
      <c r="A35" s="5">
        <f>'VSV eGFP 171013 '!A35</f>
        <v>0</v>
      </c>
      <c r="B35" s="5">
        <v>0</v>
      </c>
      <c r="AA35" s="101" t="s">
        <v>43</v>
      </c>
      <c r="AB35" s="101">
        <v>0.56699999999999995</v>
      </c>
      <c r="AC35" s="101">
        <v>0.64200000000000002</v>
      </c>
      <c r="AD35" s="101">
        <v>0.79120000000000001</v>
      </c>
      <c r="AE35" s="101">
        <v>0.7419</v>
      </c>
      <c r="AF35" s="101">
        <v>0.68430000000000002</v>
      </c>
      <c r="AG35" s="101">
        <v>0.81289999999999996</v>
      </c>
      <c r="AH35" s="101">
        <v>0.35959999999999998</v>
      </c>
      <c r="AI35" s="101">
        <v>0.67610000000000003</v>
      </c>
      <c r="AJ35" s="101">
        <v>0.81759999999999999</v>
      </c>
      <c r="AK35" s="101">
        <v>0.30320000000000003</v>
      </c>
      <c r="AL35" s="101">
        <v>0.1295</v>
      </c>
      <c r="AM35" s="101">
        <v>0.1394</v>
      </c>
      <c r="AN35" s="101"/>
      <c r="AO35" t="s">
        <v>43</v>
      </c>
      <c r="AP35">
        <v>8.6699999999999999E-2</v>
      </c>
      <c r="AQ35">
        <v>0.69330000000000003</v>
      </c>
      <c r="AR35">
        <v>2.7048000000000001</v>
      </c>
      <c r="AS35" t="s">
        <v>13</v>
      </c>
      <c r="AT35" t="s">
        <v>13</v>
      </c>
      <c r="AU35" t="s">
        <v>13</v>
      </c>
      <c r="AV35">
        <v>8.5500000000000007E-2</v>
      </c>
      <c r="AW35">
        <v>3.9514</v>
      </c>
      <c r="AX35">
        <v>3.4784999999999999</v>
      </c>
      <c r="AY35">
        <v>1.8420000000000001</v>
      </c>
      <c r="AZ35">
        <v>0.17380000000000001</v>
      </c>
      <c r="BA35">
        <v>0.1764</v>
      </c>
    </row>
    <row r="36" spans="1:53" ht="16" x14ac:dyDescent="0.2">
      <c r="A36" s="5" t="str">
        <f>'VSV eGFP 171013 '!A37</f>
        <v>SUMMARY</v>
      </c>
      <c r="B36" s="5">
        <v>0</v>
      </c>
      <c r="C36" s="3"/>
      <c r="D36" s="3"/>
      <c r="AA36" s="101" t="s">
        <v>44</v>
      </c>
      <c r="AB36" s="101">
        <v>0.53180000000000005</v>
      </c>
      <c r="AC36" s="101">
        <v>0.59319999999999995</v>
      </c>
      <c r="AD36" s="101">
        <v>0.71799999999999997</v>
      </c>
      <c r="AE36" s="101">
        <v>0.7097</v>
      </c>
      <c r="AF36" s="101">
        <v>0.67279999999999995</v>
      </c>
      <c r="AG36" s="101">
        <v>0.78569999999999995</v>
      </c>
      <c r="AH36" s="101">
        <v>0.34320000000000001</v>
      </c>
      <c r="AI36" s="101">
        <v>0.68679999999999997</v>
      </c>
      <c r="AJ36" s="101">
        <v>0.8276</v>
      </c>
      <c r="AK36" s="101">
        <v>0.29959999999999998</v>
      </c>
      <c r="AL36" s="101">
        <v>9.4799999999999995E-2</v>
      </c>
      <c r="AM36" s="101">
        <v>9.4200000000000006E-2</v>
      </c>
      <c r="AN36" s="101"/>
      <c r="AO36" t="s">
        <v>44</v>
      </c>
      <c r="AP36">
        <v>8.4699999999999998E-2</v>
      </c>
      <c r="AQ36">
        <v>0.70879999999999999</v>
      </c>
      <c r="AR36">
        <v>2.7757000000000001</v>
      </c>
      <c r="AS36" t="s">
        <v>13</v>
      </c>
      <c r="AT36" t="s">
        <v>13</v>
      </c>
      <c r="AU36" t="s">
        <v>13</v>
      </c>
      <c r="AV36">
        <v>8.4900000000000003E-2</v>
      </c>
      <c r="AW36" t="s">
        <v>13</v>
      </c>
      <c r="AX36">
        <v>3.5529000000000002</v>
      </c>
      <c r="AY36">
        <v>1.7715000000000001</v>
      </c>
      <c r="AZ36">
        <v>0.13009999999999999</v>
      </c>
      <c r="BA36">
        <v>0.13070000000000001</v>
      </c>
    </row>
    <row r="37" spans="1:53" ht="32" x14ac:dyDescent="0.2">
      <c r="A37" s="5" t="str">
        <f>'VSV eGFP 171013 '!A39</f>
        <v>rearranged and -*1.1 for NP40 (removal from PC3 prior to ELISA)</v>
      </c>
      <c r="B37" s="5" t="s">
        <v>84</v>
      </c>
      <c r="C37" s="3" t="s">
        <v>72</v>
      </c>
      <c r="D37" s="71">
        <f t="shared" ref="D37:N37" si="17">D13*1.1</f>
        <v>35.214357750000005</v>
      </c>
      <c r="E37" s="20">
        <f t="shared" si="17"/>
        <v>30.698833653124055</v>
      </c>
      <c r="F37" s="20">
        <f t="shared" si="17"/>
        <v>439.15168658530723</v>
      </c>
      <c r="G37" s="58">
        <f t="shared" si="17"/>
        <v>1814.9041522786622</v>
      </c>
      <c r="H37" s="58" t="e">
        <f t="shared" si="17"/>
        <v>#DIV/0!</v>
      </c>
      <c r="I37" s="58" t="e">
        <f t="shared" si="17"/>
        <v>#DIV/0!</v>
      </c>
      <c r="J37" s="58" t="e">
        <f t="shared" si="17"/>
        <v>#DIV/0!</v>
      </c>
      <c r="K37" s="58">
        <f t="shared" si="17"/>
        <v>2333.1786592719559</v>
      </c>
      <c r="L37" s="58">
        <f t="shared" si="17"/>
        <v>1187.2798897681835</v>
      </c>
      <c r="M37" s="58">
        <f t="shared" si="17"/>
        <v>2621.3634649407868</v>
      </c>
      <c r="N37" s="58">
        <f t="shared" si="17"/>
        <v>29.721591624828061</v>
      </c>
      <c r="P37" s="9">
        <v>5.429999902844429E-2</v>
      </c>
      <c r="Q37" s="6">
        <v>5.469999834895134E-2</v>
      </c>
      <c r="R37" s="6">
        <f>AVERAGE(P37:Q37)</f>
        <v>5.4499998688697815E-2</v>
      </c>
      <c r="S37" s="6">
        <f>R37-$Z$17</f>
        <v>5.4499998688697815E-2</v>
      </c>
      <c r="T37" s="6">
        <v>31.25</v>
      </c>
      <c r="AA37" s="101" t="s">
        <v>45</v>
      </c>
      <c r="AB37" s="101">
        <v>0.4783</v>
      </c>
      <c r="AC37" s="101">
        <v>0.62990000000000002</v>
      </c>
      <c r="AD37" s="101">
        <v>0.72440000000000004</v>
      </c>
      <c r="AE37" s="101">
        <v>0.65</v>
      </c>
      <c r="AF37" s="101">
        <v>0.63190000000000002</v>
      </c>
      <c r="AG37" s="101">
        <v>0.51659999999999995</v>
      </c>
      <c r="AH37" s="101">
        <v>0.3579</v>
      </c>
      <c r="AI37" s="101">
        <v>0.59940000000000004</v>
      </c>
      <c r="AJ37" s="101">
        <v>0.49030000000000001</v>
      </c>
      <c r="AK37" s="101">
        <v>0.62150000000000005</v>
      </c>
      <c r="AL37" s="101">
        <v>7.9899999999999999E-2</v>
      </c>
      <c r="AM37" s="101">
        <v>8.0299999999999996E-2</v>
      </c>
      <c r="AN37" s="101"/>
      <c r="AO37" t="s">
        <v>45</v>
      </c>
      <c r="AP37">
        <v>8.2500000000000004E-2</v>
      </c>
      <c r="AQ37">
        <v>0.68110000000000004</v>
      </c>
      <c r="AR37">
        <v>2.7877000000000001</v>
      </c>
      <c r="AS37">
        <v>3.6741000000000001</v>
      </c>
      <c r="AT37">
        <v>3.9134000000000002</v>
      </c>
      <c r="AU37" t="s">
        <v>13</v>
      </c>
      <c r="AV37">
        <v>8.5099999999999995E-2</v>
      </c>
      <c r="AW37">
        <v>3.7766000000000002</v>
      </c>
      <c r="AX37">
        <v>3.7271999999999998</v>
      </c>
      <c r="AY37">
        <v>2.0630000000000002</v>
      </c>
      <c r="AZ37">
        <v>0.1096</v>
      </c>
      <c r="BA37">
        <v>0.1077</v>
      </c>
    </row>
    <row r="38" spans="1:53" ht="16" x14ac:dyDescent="0.2">
      <c r="A38" s="5">
        <f>'VSV eGFP 171013 '!A40</f>
        <v>0</v>
      </c>
      <c r="B38" s="5" t="s">
        <v>85</v>
      </c>
      <c r="C38" s="60" t="s">
        <v>72</v>
      </c>
      <c r="D38" s="60"/>
      <c r="E38" s="20">
        <f t="shared" ref="E38:N38" si="18">E20*1.1</f>
        <v>29.24982112624124</v>
      </c>
      <c r="F38" s="20">
        <f t="shared" si="18"/>
        <v>427.62698341110354</v>
      </c>
      <c r="G38" s="58">
        <f t="shared" si="18"/>
        <v>1868.6861673767569</v>
      </c>
      <c r="H38" s="58">
        <f t="shared" si="18"/>
        <v>2407.1456813750269</v>
      </c>
      <c r="I38" s="58">
        <f t="shared" si="18"/>
        <v>2609.7377917399408</v>
      </c>
      <c r="J38" s="58" t="e">
        <f t="shared" si="18"/>
        <v>#DIV/0!</v>
      </c>
      <c r="K38" s="58">
        <f t="shared" si="18"/>
        <v>2411.7959667238006</v>
      </c>
      <c r="L38" s="58">
        <f t="shared" si="18"/>
        <v>1356.8142085379366</v>
      </c>
      <c r="M38" s="58">
        <f t="shared" si="18"/>
        <v>2469.7564175852544</v>
      </c>
      <c r="N38" s="58">
        <f t="shared" si="18"/>
        <v>31.743468956239525</v>
      </c>
      <c r="P38" s="9">
        <v>4.0800001472234726E-2</v>
      </c>
      <c r="Q38" s="6">
        <v>3.9000000804662704E-2</v>
      </c>
      <c r="R38" s="6">
        <f>AVERAGE(P38:Q38)</f>
        <v>3.9900001138448715E-2</v>
      </c>
      <c r="S38" s="6">
        <f>R38-$Z$17</f>
        <v>3.9900001138448715E-2</v>
      </c>
      <c r="T38" s="6">
        <v>15.625</v>
      </c>
      <c r="AA38" s="101" t="s">
        <v>46</v>
      </c>
      <c r="AB38" s="101">
        <v>0.48330000000000001</v>
      </c>
      <c r="AC38" s="101">
        <v>0.64580000000000004</v>
      </c>
      <c r="AD38" s="101">
        <v>0.72489999999999999</v>
      </c>
      <c r="AE38" s="101">
        <v>0.62090000000000001</v>
      </c>
      <c r="AF38" s="101">
        <v>0.623</v>
      </c>
      <c r="AG38" s="101">
        <v>0.53890000000000005</v>
      </c>
      <c r="AH38" s="101">
        <v>0.371</v>
      </c>
      <c r="AI38" s="101">
        <v>0.62870000000000004</v>
      </c>
      <c r="AJ38" s="101">
        <v>0.495</v>
      </c>
      <c r="AK38" s="101">
        <v>0.61960000000000004</v>
      </c>
      <c r="AL38" s="101">
        <v>5.8500000000000003E-2</v>
      </c>
      <c r="AM38" s="101">
        <v>5.9200000000000003E-2</v>
      </c>
      <c r="AN38" s="101"/>
      <c r="AO38" t="s">
        <v>46</v>
      </c>
      <c r="AP38">
        <v>8.2900000000000001E-2</v>
      </c>
      <c r="AQ38">
        <v>0.67200000000000004</v>
      </c>
      <c r="AR38">
        <v>2.8559000000000001</v>
      </c>
      <c r="AS38">
        <v>3.5823999999999998</v>
      </c>
      <c r="AT38">
        <v>3.9432999999999998</v>
      </c>
      <c r="AU38" t="s">
        <v>13</v>
      </c>
      <c r="AV38">
        <v>8.8900000000000007E-2</v>
      </c>
      <c r="AW38">
        <v>3.6762999999999999</v>
      </c>
      <c r="AX38">
        <v>3.5476000000000001</v>
      </c>
      <c r="AY38">
        <v>2.0562</v>
      </c>
      <c r="AZ38">
        <v>8.9099999999999999E-2</v>
      </c>
      <c r="BA38">
        <v>9.1399999999999995E-2</v>
      </c>
    </row>
    <row r="39" spans="1:53" ht="16" x14ac:dyDescent="0.2">
      <c r="C39" s="60" t="s">
        <v>184</v>
      </c>
      <c r="D39" s="17">
        <f>AVERAGE(D37:D38)</f>
        <v>35.214357750000005</v>
      </c>
      <c r="E39" s="17">
        <f>AVERAGE(E37:E38)</f>
        <v>29.974327389682649</v>
      </c>
      <c r="F39" s="17">
        <f t="shared" ref="F39:N39" si="19">AVERAGE(F37:F38)</f>
        <v>433.38933499820541</v>
      </c>
      <c r="G39" s="60">
        <f t="shared" si="19"/>
        <v>1841.7951598277095</v>
      </c>
      <c r="H39" s="60">
        <f>H38</f>
        <v>2407.1456813750269</v>
      </c>
      <c r="I39" s="60" t="e">
        <f t="shared" si="19"/>
        <v>#DIV/0!</v>
      </c>
      <c r="J39" s="60" t="e">
        <f t="shared" si="19"/>
        <v>#DIV/0!</v>
      </c>
      <c r="K39" s="60">
        <f t="shared" si="19"/>
        <v>2372.4873129978782</v>
      </c>
      <c r="L39" s="60">
        <f t="shared" si="19"/>
        <v>1272.04704915306</v>
      </c>
      <c r="M39" s="60">
        <f t="shared" si="19"/>
        <v>2545.5599412630208</v>
      </c>
      <c r="N39" s="17">
        <f t="shared" si="19"/>
        <v>30.732530290533795</v>
      </c>
      <c r="P39" s="9">
        <v>1.9600000232458115E-2</v>
      </c>
      <c r="Q39" s="6">
        <v>2.0099999383091927E-2</v>
      </c>
      <c r="R39" s="3">
        <f>AVERAGE(P39:Q39)</f>
        <v>1.9849999807775021E-2</v>
      </c>
      <c r="S39" s="6">
        <f>R39-$Z$17</f>
        <v>1.9849999807775021E-2</v>
      </c>
      <c r="T39" s="6">
        <v>0</v>
      </c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16" x14ac:dyDescent="0.2">
      <c r="A40" s="5">
        <f>'VSV eGFP 171013 '!A41</f>
        <v>0</v>
      </c>
      <c r="B40" s="5" t="s">
        <v>146</v>
      </c>
      <c r="D40" s="71">
        <f t="shared" ref="D40:N40" si="20">D27*1.1</f>
        <v>2.1835E-2</v>
      </c>
      <c r="E40" s="72">
        <f t="shared" si="20"/>
        <v>0</v>
      </c>
      <c r="F40" s="72">
        <f t="shared" si="20"/>
        <v>0</v>
      </c>
      <c r="G40" s="72">
        <f t="shared" si="20"/>
        <v>1.9362200000000001</v>
      </c>
      <c r="H40" s="72">
        <f t="shared" si="20"/>
        <v>3.3109999999999999</v>
      </c>
      <c r="I40" s="72">
        <f t="shared" si="20"/>
        <v>3.2531400000000001</v>
      </c>
      <c r="J40" s="72">
        <f t="shared" si="20"/>
        <v>3.7842200000000004</v>
      </c>
      <c r="K40" s="72">
        <f t="shared" si="20"/>
        <v>2.9374400000000001</v>
      </c>
      <c r="L40" s="72">
        <f t="shared" si="20"/>
        <v>1.6178800000000002</v>
      </c>
      <c r="M40" s="72">
        <f t="shared" si="20"/>
        <v>2.8457000000000003</v>
      </c>
      <c r="N40" s="72">
        <f t="shared" si="20"/>
        <v>0</v>
      </c>
      <c r="O40" s="58"/>
      <c r="AA40" s="101" t="s">
        <v>47</v>
      </c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t="s">
        <v>47</v>
      </c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16" x14ac:dyDescent="0.2">
      <c r="A41" s="5">
        <f>'VSV eGFP 171013 '!A42</f>
        <v>0</v>
      </c>
      <c r="B41" s="5" t="s">
        <v>147</v>
      </c>
      <c r="E41" s="72">
        <f t="shared" ref="E41:N41" si="21">E34*1.1</f>
        <v>0</v>
      </c>
      <c r="F41" s="72">
        <f t="shared" si="21"/>
        <v>0</v>
      </c>
      <c r="G41" s="72">
        <f t="shared" si="21"/>
        <v>1.86802</v>
      </c>
      <c r="H41" s="72">
        <f t="shared" si="21"/>
        <v>2.4780799999999998</v>
      </c>
      <c r="I41" s="72">
        <f t="shared" si="21"/>
        <v>2.8529599999999999</v>
      </c>
      <c r="J41" s="72">
        <f t="shared" si="21"/>
        <v>4.1769200000000009</v>
      </c>
      <c r="K41" s="72">
        <f t="shared" si="21"/>
        <v>2.4142800000000002</v>
      </c>
      <c r="L41" s="72">
        <f t="shared" si="21"/>
        <v>1.27424</v>
      </c>
      <c r="M41" s="72">
        <f t="shared" si="21"/>
        <v>2.8699000000000003</v>
      </c>
      <c r="N41" s="72">
        <f t="shared" si="21"/>
        <v>0</v>
      </c>
      <c r="O41" s="58"/>
      <c r="AA41" s="101" t="s">
        <v>37</v>
      </c>
      <c r="AB41" s="101">
        <v>1</v>
      </c>
      <c r="AC41" s="101">
        <v>2</v>
      </c>
      <c r="AD41" s="101">
        <v>3</v>
      </c>
      <c r="AE41" s="101">
        <v>4</v>
      </c>
      <c r="AF41" s="101">
        <v>5</v>
      </c>
      <c r="AG41" s="101">
        <v>6</v>
      </c>
      <c r="AH41" s="101">
        <v>7</v>
      </c>
      <c r="AI41" s="101">
        <v>8</v>
      </c>
      <c r="AJ41" s="101">
        <v>9</v>
      </c>
      <c r="AK41" s="101">
        <v>10</v>
      </c>
      <c r="AL41" s="101">
        <v>11</v>
      </c>
      <c r="AM41" s="101">
        <v>12</v>
      </c>
      <c r="AN41" s="101"/>
      <c r="AO41" t="s">
        <v>37</v>
      </c>
      <c r="AP41">
        <v>1</v>
      </c>
      <c r="AQ41">
        <v>2</v>
      </c>
      <c r="AR41">
        <v>3</v>
      </c>
      <c r="AS41">
        <v>4</v>
      </c>
      <c r="AT41">
        <v>5</v>
      </c>
      <c r="AU41">
        <v>6</v>
      </c>
      <c r="AV41">
        <v>7</v>
      </c>
      <c r="AW41">
        <v>8</v>
      </c>
      <c r="AX41">
        <v>9</v>
      </c>
      <c r="AY41">
        <v>10</v>
      </c>
      <c r="AZ41">
        <v>11</v>
      </c>
      <c r="BA41">
        <v>12</v>
      </c>
    </row>
    <row r="42" spans="1:53" ht="16" x14ac:dyDescent="0.2">
      <c r="A42" s="5" t="str">
        <f>'VSV eGFP 171013 '!A43</f>
        <v>Average</v>
      </c>
      <c r="B42" s="3"/>
      <c r="C42" s="6" t="s">
        <v>184</v>
      </c>
      <c r="D42" s="73">
        <f>AVERAGE(D40:D41)</f>
        <v>2.1835E-2</v>
      </c>
      <c r="E42" s="72"/>
      <c r="F42" s="72"/>
      <c r="G42" s="17">
        <f>AVERAGE(G40:G41)</f>
        <v>1.90212</v>
      </c>
      <c r="H42" s="17">
        <f t="shared" ref="H42:M42" si="22">AVERAGE(H40:H41)</f>
        <v>2.8945400000000001</v>
      </c>
      <c r="I42" s="17">
        <f t="shared" si="22"/>
        <v>3.0530499999999998</v>
      </c>
      <c r="J42" s="17">
        <f t="shared" si="22"/>
        <v>3.9805700000000006</v>
      </c>
      <c r="K42" s="17">
        <f t="shared" si="22"/>
        <v>2.6758600000000001</v>
      </c>
      <c r="L42" s="17">
        <f t="shared" si="22"/>
        <v>1.4460600000000001</v>
      </c>
      <c r="M42" s="17">
        <f t="shared" si="22"/>
        <v>2.8578000000000001</v>
      </c>
      <c r="N42" s="72"/>
      <c r="O42" s="58"/>
      <c r="AA42" s="101" t="s">
        <v>39</v>
      </c>
      <c r="AB42" s="101">
        <v>4.0399999999999998E-2</v>
      </c>
      <c r="AC42" s="101">
        <v>4.0800000000000003E-2</v>
      </c>
      <c r="AD42" s="101">
        <v>4.2500000000000003E-2</v>
      </c>
      <c r="AE42" s="101">
        <v>4.2700000000000002E-2</v>
      </c>
      <c r="AF42" s="101">
        <v>4.0099999999999997E-2</v>
      </c>
      <c r="AG42" s="101">
        <v>4.0500000000000001E-2</v>
      </c>
      <c r="AH42" s="101">
        <v>0.04</v>
      </c>
      <c r="AI42" s="101">
        <v>4.0399999999999998E-2</v>
      </c>
      <c r="AJ42" s="101">
        <v>4.0899999999999999E-2</v>
      </c>
      <c r="AK42" s="101">
        <v>4.0399999999999998E-2</v>
      </c>
      <c r="AL42" s="101">
        <v>4.4699999999999997E-2</v>
      </c>
      <c r="AM42" s="101">
        <v>4.4200000000000003E-2</v>
      </c>
      <c r="AN42" s="101"/>
      <c r="AO42" t="s">
        <v>39</v>
      </c>
      <c r="AP42">
        <v>3.9199999999999999E-2</v>
      </c>
      <c r="AQ42">
        <v>4.3900000000000002E-2</v>
      </c>
      <c r="AR42">
        <v>4.2200000000000001E-2</v>
      </c>
      <c r="AS42">
        <v>4.3200000000000002E-2</v>
      </c>
      <c r="AT42">
        <v>4.6899999999999997E-2</v>
      </c>
      <c r="AU42">
        <v>5.0900000000000001E-2</v>
      </c>
      <c r="AV42">
        <v>3.8899999999999997E-2</v>
      </c>
      <c r="AW42">
        <v>4.3999999999999997E-2</v>
      </c>
      <c r="AX42">
        <v>4.5199999999999997E-2</v>
      </c>
      <c r="AY42">
        <v>4.3999999999999997E-2</v>
      </c>
      <c r="AZ42">
        <v>4.5400000000000003E-2</v>
      </c>
      <c r="BA42">
        <v>4.5400000000000003E-2</v>
      </c>
    </row>
    <row r="43" spans="1:53" ht="16" x14ac:dyDescent="0.2">
      <c r="A43" s="5">
        <f>'VSV eGFP 171013 '!A44</f>
        <v>0</v>
      </c>
      <c r="C43" s="6" t="s">
        <v>185</v>
      </c>
      <c r="D43" s="6">
        <f>D39</f>
        <v>35.214357750000005</v>
      </c>
      <c r="E43" s="6">
        <f t="shared" ref="E43:F43" si="23">E39</f>
        <v>29.974327389682649</v>
      </c>
      <c r="F43" s="6">
        <f t="shared" si="23"/>
        <v>433.38933499820541</v>
      </c>
      <c r="G43" s="58">
        <f>G42</f>
        <v>1.90212</v>
      </c>
      <c r="H43" s="58">
        <f t="shared" ref="H43:L43" si="24">H42</f>
        <v>2.8945400000000001</v>
      </c>
      <c r="I43" s="58">
        <f t="shared" si="24"/>
        <v>3.0530499999999998</v>
      </c>
      <c r="J43" s="58">
        <f t="shared" si="24"/>
        <v>3.9805700000000006</v>
      </c>
      <c r="K43" s="58">
        <f t="shared" si="24"/>
        <v>2.6758600000000001</v>
      </c>
      <c r="L43" s="58">
        <f t="shared" si="24"/>
        <v>1.4460600000000001</v>
      </c>
      <c r="M43" s="58">
        <f>M42</f>
        <v>2.8578000000000001</v>
      </c>
      <c r="N43" s="58">
        <f>N39</f>
        <v>30.732530290533795</v>
      </c>
      <c r="O43" s="58"/>
      <c r="AA43" s="101" t="s">
        <v>40</v>
      </c>
      <c r="AB43" s="101">
        <v>4.1700000000000001E-2</v>
      </c>
      <c r="AC43" s="101">
        <v>4.1700000000000001E-2</v>
      </c>
      <c r="AD43" s="101">
        <v>3.9800000000000002E-2</v>
      </c>
      <c r="AE43" s="101">
        <v>4.0800000000000003E-2</v>
      </c>
      <c r="AF43" s="101">
        <v>4.1000000000000002E-2</v>
      </c>
      <c r="AG43" s="101">
        <v>4.0599999999999997E-2</v>
      </c>
      <c r="AH43" s="101">
        <v>3.9600000000000003E-2</v>
      </c>
      <c r="AI43" s="101">
        <v>4.0300000000000002E-2</v>
      </c>
      <c r="AJ43" s="101">
        <v>4.0099999999999997E-2</v>
      </c>
      <c r="AK43" s="101">
        <v>4.19E-2</v>
      </c>
      <c r="AL43" s="101">
        <v>4.1099999999999998E-2</v>
      </c>
      <c r="AM43" s="101">
        <v>4.1799999999999997E-2</v>
      </c>
      <c r="AN43" s="101"/>
      <c r="AO43" t="s">
        <v>40</v>
      </c>
      <c r="AP43">
        <v>4.0599999999999997E-2</v>
      </c>
      <c r="AQ43">
        <v>4.0899999999999999E-2</v>
      </c>
      <c r="AR43">
        <v>4.3099999999999999E-2</v>
      </c>
      <c r="AS43">
        <v>4.53E-2</v>
      </c>
      <c r="AT43">
        <v>4.7699999999999999E-2</v>
      </c>
      <c r="AU43">
        <v>4.8099999999999997E-2</v>
      </c>
      <c r="AV43">
        <v>4.2599999999999999E-2</v>
      </c>
      <c r="AW43">
        <v>4.6100000000000002E-2</v>
      </c>
      <c r="AX43">
        <v>4.7899999999999998E-2</v>
      </c>
      <c r="AY43">
        <v>4.53E-2</v>
      </c>
      <c r="AZ43">
        <v>4.2700000000000002E-2</v>
      </c>
      <c r="BA43">
        <v>4.1799999999999997E-2</v>
      </c>
    </row>
    <row r="44" spans="1:53" ht="16" x14ac:dyDescent="0.2">
      <c r="A44" s="5"/>
      <c r="AA44" s="101" t="s">
        <v>41</v>
      </c>
      <c r="AB44" s="101">
        <v>4.02E-2</v>
      </c>
      <c r="AC44" s="101">
        <v>4.1500000000000002E-2</v>
      </c>
      <c r="AD44" s="101">
        <v>4.1000000000000002E-2</v>
      </c>
      <c r="AE44" s="101">
        <v>4.5400000000000003E-2</v>
      </c>
      <c r="AF44" s="101">
        <v>4.6199999999999998E-2</v>
      </c>
      <c r="AG44" s="101">
        <v>4.2099999999999999E-2</v>
      </c>
      <c r="AH44" s="101">
        <v>4.2500000000000003E-2</v>
      </c>
      <c r="AI44" s="101">
        <v>3.9800000000000002E-2</v>
      </c>
      <c r="AJ44" s="101">
        <v>4.07E-2</v>
      </c>
      <c r="AK44" s="101">
        <v>3.9699999999999999E-2</v>
      </c>
      <c r="AL44" s="101">
        <v>3.9399999999999998E-2</v>
      </c>
      <c r="AM44" s="101">
        <v>3.9699999999999999E-2</v>
      </c>
      <c r="AN44" s="101"/>
      <c r="AO44" t="s">
        <v>41</v>
      </c>
      <c r="AP44">
        <v>3.8699999999999998E-2</v>
      </c>
      <c r="AQ44">
        <v>3.9E-2</v>
      </c>
      <c r="AR44">
        <v>4.2599999999999999E-2</v>
      </c>
      <c r="AS44">
        <v>4.4600000000000001E-2</v>
      </c>
      <c r="AT44">
        <v>4.5900000000000003E-2</v>
      </c>
      <c r="AU44">
        <v>4.7300000000000002E-2</v>
      </c>
      <c r="AV44">
        <v>3.9100000000000003E-2</v>
      </c>
      <c r="AW44">
        <v>4.6199999999999998E-2</v>
      </c>
      <c r="AX44">
        <v>4.3299999999999998E-2</v>
      </c>
      <c r="AY44">
        <v>4.0399999999999998E-2</v>
      </c>
      <c r="AZ44">
        <v>3.9600000000000003E-2</v>
      </c>
      <c r="BA44">
        <v>4.0899999999999999E-2</v>
      </c>
    </row>
    <row r="45" spans="1:53" ht="16" x14ac:dyDescent="0.2">
      <c r="A45" s="5" t="str">
        <f>'VSV eGFP 171013 '!A45</f>
        <v>FOLD change (cf 'mock')</v>
      </c>
      <c r="B45" s="6" t="s">
        <v>186</v>
      </c>
      <c r="C45" s="6" t="s">
        <v>70</v>
      </c>
      <c r="D45" s="6">
        <f>D39/$F$39</f>
        <v>8.1253401748212883E-2</v>
      </c>
      <c r="E45" s="6">
        <f>E39/$F$39</f>
        <v>6.9162586545436722E-2</v>
      </c>
      <c r="F45" s="6">
        <f t="shared" ref="F45:N45" si="25">F39/$F$39</f>
        <v>1</v>
      </c>
      <c r="G45" s="6">
        <f t="shared" si="25"/>
        <v>4.2497473082380672</v>
      </c>
      <c r="H45" s="6">
        <f t="shared" si="25"/>
        <v>5.5542337731614797</v>
      </c>
      <c r="I45" s="6" t="e">
        <f t="shared" si="25"/>
        <v>#DIV/0!</v>
      </c>
      <c r="J45" s="6" t="e">
        <f t="shared" si="25"/>
        <v>#DIV/0!</v>
      </c>
      <c r="K45" s="6">
        <f t="shared" si="25"/>
        <v>5.4742632580188024</v>
      </c>
      <c r="L45" s="6">
        <f t="shared" si="25"/>
        <v>2.9351138720530061</v>
      </c>
      <c r="M45" s="6">
        <f t="shared" si="25"/>
        <v>5.8736100215146312</v>
      </c>
      <c r="N45" s="6">
        <f t="shared" si="25"/>
        <v>7.0912059454949564E-2</v>
      </c>
      <c r="AA45" s="101" t="s">
        <v>42</v>
      </c>
      <c r="AB45" s="101">
        <v>3.9899999999999998E-2</v>
      </c>
      <c r="AC45" s="101">
        <v>4.0099999999999997E-2</v>
      </c>
      <c r="AD45" s="101">
        <v>4.2299999999999997E-2</v>
      </c>
      <c r="AE45" s="101">
        <v>4.2500000000000003E-2</v>
      </c>
      <c r="AF45" s="101">
        <v>4.0399999999999998E-2</v>
      </c>
      <c r="AG45" s="101">
        <v>3.95E-2</v>
      </c>
      <c r="AH45" s="101">
        <v>3.8899999999999997E-2</v>
      </c>
      <c r="AI45" s="101">
        <v>4.02E-2</v>
      </c>
      <c r="AJ45" s="101">
        <v>3.9800000000000002E-2</v>
      </c>
      <c r="AK45" s="101">
        <v>4.02E-2</v>
      </c>
      <c r="AL45" s="101">
        <v>3.8600000000000002E-2</v>
      </c>
      <c r="AM45" s="101">
        <v>3.9699999999999999E-2</v>
      </c>
      <c r="AN45" s="101"/>
      <c r="AO45" t="s">
        <v>42</v>
      </c>
      <c r="AP45">
        <v>3.8899999999999997E-2</v>
      </c>
      <c r="AQ45">
        <v>3.9699999999999999E-2</v>
      </c>
      <c r="AR45">
        <v>4.2500000000000003E-2</v>
      </c>
      <c r="AS45">
        <v>4.3900000000000002E-2</v>
      </c>
      <c r="AT45">
        <v>4.4400000000000002E-2</v>
      </c>
      <c r="AU45">
        <v>4.6699999999999998E-2</v>
      </c>
      <c r="AV45">
        <v>3.8199999999999998E-2</v>
      </c>
      <c r="AW45">
        <v>4.5900000000000003E-2</v>
      </c>
      <c r="AX45">
        <v>4.2700000000000002E-2</v>
      </c>
      <c r="AY45">
        <v>4.5999999999999999E-2</v>
      </c>
      <c r="AZ45">
        <v>4.1099999999999998E-2</v>
      </c>
      <c r="BA45">
        <v>4.0599999999999997E-2</v>
      </c>
    </row>
    <row r="46" spans="1:53" ht="16" x14ac:dyDescent="0.2">
      <c r="A46" s="5">
        <f>'VSV eGFP 171013 '!A46</f>
        <v>0</v>
      </c>
      <c r="C46" s="6" t="s">
        <v>71</v>
      </c>
      <c r="D46" s="6">
        <f>D42/$F$39</f>
        <v>5.0381950446681886E-5</v>
      </c>
      <c r="G46" s="6">
        <f>G42/$F$39</f>
        <v>4.3889404892897893E-3</v>
      </c>
      <c r="H46" s="6">
        <f t="shared" ref="H46:N46" si="26">H42/$F$39</f>
        <v>6.6788445544281472E-3</v>
      </c>
      <c r="I46" s="6">
        <f t="shared" si="26"/>
        <v>7.044589595202295E-3</v>
      </c>
      <c r="J46" s="6">
        <f t="shared" si="26"/>
        <v>9.1847437824386785E-3</v>
      </c>
      <c r="K46" s="6">
        <f t="shared" si="26"/>
        <v>6.1742636099041993E-3</v>
      </c>
      <c r="L46" s="6">
        <f t="shared" si="26"/>
        <v>3.3366303303379351E-3</v>
      </c>
      <c r="M46" s="6">
        <f t="shared" si="26"/>
        <v>6.5940708947344858E-3</v>
      </c>
      <c r="N46" s="6">
        <f t="shared" si="26"/>
        <v>0</v>
      </c>
      <c r="AA46" s="101" t="s">
        <v>43</v>
      </c>
      <c r="AB46" s="101">
        <v>3.95E-2</v>
      </c>
      <c r="AC46" s="101">
        <v>4.0099999999999997E-2</v>
      </c>
      <c r="AD46" s="101">
        <v>8.0500000000000002E-2</v>
      </c>
      <c r="AE46" s="101">
        <v>4.1599999999999998E-2</v>
      </c>
      <c r="AF46" s="101">
        <v>4.3200000000000002E-2</v>
      </c>
      <c r="AG46" s="101">
        <v>4.0099999999999997E-2</v>
      </c>
      <c r="AH46" s="101">
        <v>3.9100000000000003E-2</v>
      </c>
      <c r="AI46" s="101">
        <v>4.1000000000000002E-2</v>
      </c>
      <c r="AJ46" s="101">
        <v>4.1799999999999997E-2</v>
      </c>
      <c r="AK46" s="101">
        <v>3.9800000000000002E-2</v>
      </c>
      <c r="AL46" s="101">
        <v>3.9399999999999998E-2</v>
      </c>
      <c r="AM46" s="101">
        <v>3.9699999999999999E-2</v>
      </c>
      <c r="AN46" s="101"/>
      <c r="AO46" t="s">
        <v>43</v>
      </c>
      <c r="AP46">
        <v>3.95E-2</v>
      </c>
      <c r="AQ46">
        <v>5.4699999999999999E-2</v>
      </c>
      <c r="AR46">
        <v>4.7800000000000002E-2</v>
      </c>
      <c r="AS46">
        <v>6.0499999999999998E-2</v>
      </c>
      <c r="AT46">
        <v>5.74E-2</v>
      </c>
      <c r="AU46">
        <v>7.2999999999999995E-2</v>
      </c>
      <c r="AV46">
        <v>4.0899999999999999E-2</v>
      </c>
      <c r="AW46">
        <v>6.1899999999999997E-2</v>
      </c>
      <c r="AX46">
        <v>5.4899999999999997E-2</v>
      </c>
      <c r="AY46">
        <v>4.4400000000000002E-2</v>
      </c>
      <c r="AZ46">
        <v>3.95E-2</v>
      </c>
      <c r="BA46">
        <v>3.8800000000000001E-2</v>
      </c>
    </row>
    <row r="47" spans="1:53" ht="16" x14ac:dyDescent="0.2">
      <c r="AA47" s="101" t="s">
        <v>44</v>
      </c>
      <c r="AB47" s="101">
        <v>4.0399999999999998E-2</v>
      </c>
      <c r="AC47" s="101">
        <v>3.95E-2</v>
      </c>
      <c r="AD47" s="101">
        <v>4.1000000000000002E-2</v>
      </c>
      <c r="AE47" s="101">
        <v>4.0899999999999999E-2</v>
      </c>
      <c r="AF47" s="101">
        <v>4.02E-2</v>
      </c>
      <c r="AG47" s="101">
        <v>4.7899999999999998E-2</v>
      </c>
      <c r="AH47" s="101">
        <v>4.1500000000000002E-2</v>
      </c>
      <c r="AI47" s="101">
        <v>4.0899999999999999E-2</v>
      </c>
      <c r="AJ47" s="101">
        <v>4.0899999999999999E-2</v>
      </c>
      <c r="AK47" s="101">
        <v>3.9600000000000003E-2</v>
      </c>
      <c r="AL47" s="101">
        <v>4.0500000000000001E-2</v>
      </c>
      <c r="AM47" s="101">
        <v>3.95E-2</v>
      </c>
      <c r="AN47" s="101"/>
      <c r="AO47" t="s">
        <v>44</v>
      </c>
      <c r="AP47">
        <v>4.07E-2</v>
      </c>
      <c r="AQ47">
        <v>4.4299999999999999E-2</v>
      </c>
      <c r="AR47">
        <v>4.6800000000000001E-2</v>
      </c>
      <c r="AS47">
        <v>6.3200000000000006E-2</v>
      </c>
      <c r="AT47">
        <v>5.8299999999999998E-2</v>
      </c>
      <c r="AU47">
        <v>6.0400000000000002E-2</v>
      </c>
      <c r="AV47">
        <v>4.1200000000000001E-2</v>
      </c>
      <c r="AW47">
        <v>5.6899999999999999E-2</v>
      </c>
      <c r="AX47">
        <v>5.2600000000000001E-2</v>
      </c>
      <c r="AY47">
        <v>4.5699999999999998E-2</v>
      </c>
      <c r="AZ47">
        <v>3.9199999999999999E-2</v>
      </c>
      <c r="BA47">
        <v>3.8600000000000002E-2</v>
      </c>
    </row>
    <row r="48" spans="1:53" ht="16" x14ac:dyDescent="0.2">
      <c r="A48" s="6" t="s">
        <v>187</v>
      </c>
      <c r="B48" s="6" t="s">
        <v>76</v>
      </c>
      <c r="D48" s="17">
        <f>D43/$F$43</f>
        <v>8.1253401748212883E-2</v>
      </c>
      <c r="E48" s="17">
        <f t="shared" ref="E48:N48" si="27">E43/$F$43</f>
        <v>6.9162586545436722E-2</v>
      </c>
      <c r="F48" s="17">
        <f t="shared" si="27"/>
        <v>1</v>
      </c>
      <c r="G48" s="17">
        <f t="shared" si="27"/>
        <v>4.3889404892897893E-3</v>
      </c>
      <c r="H48" s="17">
        <f t="shared" si="27"/>
        <v>6.6788445544281472E-3</v>
      </c>
      <c r="I48" s="17">
        <f t="shared" si="27"/>
        <v>7.044589595202295E-3</v>
      </c>
      <c r="J48" s="17">
        <f t="shared" si="27"/>
        <v>9.1847437824386785E-3</v>
      </c>
      <c r="K48" s="17">
        <f t="shared" si="27"/>
        <v>6.1742636099041993E-3</v>
      </c>
      <c r="L48" s="17">
        <f t="shared" si="27"/>
        <v>3.3366303303379351E-3</v>
      </c>
      <c r="M48" s="17">
        <f t="shared" si="27"/>
        <v>6.5940708947344858E-3</v>
      </c>
      <c r="N48" s="17">
        <f t="shared" si="27"/>
        <v>7.0912059454949564E-2</v>
      </c>
      <c r="AA48" s="101" t="s">
        <v>45</v>
      </c>
      <c r="AB48" s="101">
        <v>4.07E-2</v>
      </c>
      <c r="AC48" s="101">
        <v>4.2000000000000003E-2</v>
      </c>
      <c r="AD48" s="101">
        <v>4.1399999999999999E-2</v>
      </c>
      <c r="AE48" s="101">
        <v>4.02E-2</v>
      </c>
      <c r="AF48" s="101">
        <v>4.0300000000000002E-2</v>
      </c>
      <c r="AG48" s="101">
        <v>3.9699999999999999E-2</v>
      </c>
      <c r="AH48" s="101">
        <v>4.02E-2</v>
      </c>
      <c r="AI48" s="101">
        <v>4.0500000000000001E-2</v>
      </c>
      <c r="AJ48" s="101">
        <v>4.1200000000000001E-2</v>
      </c>
      <c r="AK48" s="101">
        <v>0.04</v>
      </c>
      <c r="AL48" s="101">
        <v>3.9E-2</v>
      </c>
      <c r="AM48" s="101">
        <v>4.1200000000000001E-2</v>
      </c>
      <c r="AN48" s="101"/>
      <c r="AO48" t="s">
        <v>45</v>
      </c>
      <c r="AP48">
        <v>0.04</v>
      </c>
      <c r="AQ48">
        <v>4.41E-2</v>
      </c>
      <c r="AR48">
        <v>4.9200000000000001E-2</v>
      </c>
      <c r="AS48">
        <v>5.8400000000000001E-2</v>
      </c>
      <c r="AT48">
        <v>5.7799999999999997E-2</v>
      </c>
      <c r="AU48">
        <v>7.0800000000000002E-2</v>
      </c>
      <c r="AV48">
        <v>3.9E-2</v>
      </c>
      <c r="AW48">
        <v>6.3100000000000003E-2</v>
      </c>
      <c r="AX48">
        <v>5.9499999999999997E-2</v>
      </c>
      <c r="AY48">
        <v>4.5499999999999999E-2</v>
      </c>
      <c r="AZ48">
        <v>3.8699999999999998E-2</v>
      </c>
      <c r="BA48">
        <v>3.8399999999999997E-2</v>
      </c>
    </row>
    <row r="49" spans="5:53" ht="16" x14ac:dyDescent="0.2">
      <c r="E49" s="6">
        <f>E46-$E46</f>
        <v>0</v>
      </c>
      <c r="AA49" s="101" t="s">
        <v>46</v>
      </c>
      <c r="AB49" s="101">
        <v>4.5199999999999997E-2</v>
      </c>
      <c r="AC49" s="101">
        <v>3.9800000000000002E-2</v>
      </c>
      <c r="AD49" s="101">
        <v>4.07E-2</v>
      </c>
      <c r="AE49" s="101">
        <v>4.0099999999999997E-2</v>
      </c>
      <c r="AF49" s="101">
        <v>3.9399999999999998E-2</v>
      </c>
      <c r="AG49" s="101">
        <v>4.0599999999999997E-2</v>
      </c>
      <c r="AH49" s="101">
        <v>3.95E-2</v>
      </c>
      <c r="AI49" s="101">
        <v>4.2799999999999998E-2</v>
      </c>
      <c r="AJ49" s="101">
        <v>4.0300000000000002E-2</v>
      </c>
      <c r="AK49" s="101">
        <v>0.04</v>
      </c>
      <c r="AL49" s="101">
        <v>3.8899999999999997E-2</v>
      </c>
      <c r="AM49" s="101">
        <v>3.9100000000000003E-2</v>
      </c>
      <c r="AN49" s="101"/>
      <c r="AO49" t="s">
        <v>46</v>
      </c>
      <c r="AP49">
        <v>3.8600000000000002E-2</v>
      </c>
      <c r="AQ49">
        <v>0.04</v>
      </c>
      <c r="AR49">
        <v>4.9000000000000002E-2</v>
      </c>
      <c r="AS49">
        <v>5.4800000000000001E-2</v>
      </c>
      <c r="AT49">
        <v>5.4399999999999997E-2</v>
      </c>
      <c r="AU49">
        <v>5.9700000000000003E-2</v>
      </c>
      <c r="AV49">
        <v>4.07E-2</v>
      </c>
      <c r="AW49">
        <v>6.08E-2</v>
      </c>
      <c r="AX49">
        <v>5.8200000000000002E-2</v>
      </c>
      <c r="AY49">
        <v>4.7300000000000002E-2</v>
      </c>
      <c r="AZ49">
        <v>3.7999999999999999E-2</v>
      </c>
      <c r="BA49">
        <v>3.7999999999999999E-2</v>
      </c>
    </row>
    <row r="50" spans="5:53" ht="16" x14ac:dyDescent="0.2"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5:53" ht="16" x14ac:dyDescent="0.2">
      <c r="AA51" s="101" t="s">
        <v>50</v>
      </c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t="s">
        <v>50</v>
      </c>
      <c r="AP51"/>
      <c r="AQ51"/>
      <c r="AR51"/>
      <c r="AS51"/>
      <c r="AT51"/>
      <c r="AU51"/>
      <c r="AV51"/>
      <c r="AW51"/>
      <c r="AX51"/>
      <c r="AY51"/>
      <c r="AZ51"/>
      <c r="BA51"/>
    </row>
    <row r="52" spans="5:53" ht="16" x14ac:dyDescent="0.2">
      <c r="AA52" s="101" t="s">
        <v>37</v>
      </c>
      <c r="AB52" s="101">
        <v>1</v>
      </c>
      <c r="AC52" s="101">
        <v>2</v>
      </c>
      <c r="AD52" s="101">
        <v>3</v>
      </c>
      <c r="AE52" s="101">
        <v>4</v>
      </c>
      <c r="AF52" s="101">
        <v>5</v>
      </c>
      <c r="AG52" s="101">
        <v>6</v>
      </c>
      <c r="AH52" s="101">
        <v>7</v>
      </c>
      <c r="AI52" s="101">
        <v>8</v>
      </c>
      <c r="AJ52" s="101">
        <v>9</v>
      </c>
      <c r="AK52" s="101">
        <v>10</v>
      </c>
      <c r="AL52" s="101">
        <v>11</v>
      </c>
      <c r="AM52" s="101">
        <v>12</v>
      </c>
      <c r="AN52" s="101"/>
      <c r="AO52" t="s">
        <v>37</v>
      </c>
      <c r="AP52">
        <v>1</v>
      </c>
      <c r="AQ52">
        <v>2</v>
      </c>
      <c r="AR52">
        <v>3</v>
      </c>
      <c r="AS52">
        <v>4</v>
      </c>
      <c r="AT52">
        <v>5</v>
      </c>
      <c r="AU52">
        <v>6</v>
      </c>
      <c r="AV52">
        <v>7</v>
      </c>
      <c r="AW52">
        <v>8</v>
      </c>
      <c r="AX52">
        <v>9</v>
      </c>
      <c r="AY52">
        <v>10</v>
      </c>
      <c r="AZ52">
        <v>11</v>
      </c>
      <c r="BA52">
        <v>12</v>
      </c>
    </row>
    <row r="53" spans="5:53" ht="16" x14ac:dyDescent="0.2">
      <c r="AA53" s="101" t="s">
        <v>39</v>
      </c>
      <c r="AB53" s="105">
        <v>0.44350000000000001</v>
      </c>
      <c r="AC53" s="105">
        <v>0.74</v>
      </c>
      <c r="AD53" s="105">
        <v>0.77690000000000003</v>
      </c>
      <c r="AE53" s="105">
        <v>0.87760000000000005</v>
      </c>
      <c r="AF53" s="105">
        <v>0.65380000000000005</v>
      </c>
      <c r="AG53" s="106">
        <v>0.66910000000000003</v>
      </c>
      <c r="AH53" s="106">
        <v>0.38740000000000002</v>
      </c>
      <c r="AI53" s="101">
        <v>0.58840000000000003</v>
      </c>
      <c r="AJ53" s="101">
        <v>0.74280000000000002</v>
      </c>
      <c r="AK53" s="101">
        <v>0.68579999999999997</v>
      </c>
      <c r="AL53" s="105">
        <v>1.4357</v>
      </c>
      <c r="AM53" s="105">
        <v>1.3996</v>
      </c>
      <c r="AN53" s="101"/>
      <c r="AO53" t="s">
        <v>39</v>
      </c>
      <c r="AP53">
        <v>4.6199999999999998E-2</v>
      </c>
      <c r="AQ53">
        <v>0.41299999999999998</v>
      </c>
      <c r="AR53">
        <v>1.3337000000000001</v>
      </c>
      <c r="AS53">
        <v>1.5602</v>
      </c>
      <c r="AT53">
        <v>2.3149000000000002</v>
      </c>
      <c r="AU53">
        <v>2.1017999999999999</v>
      </c>
      <c r="AV53">
        <v>4.3700000000000003E-2</v>
      </c>
      <c r="AW53">
        <v>1.9974000000000001</v>
      </c>
      <c r="AX53">
        <v>2.3083999999999998</v>
      </c>
      <c r="AY53">
        <v>1.8676999999999999</v>
      </c>
      <c r="AZ53">
        <v>1.7441</v>
      </c>
      <c r="BA53">
        <v>1.7222</v>
      </c>
    </row>
    <row r="54" spans="5:53" ht="16" x14ac:dyDescent="0.2">
      <c r="AA54" s="101" t="s">
        <v>40</v>
      </c>
      <c r="AB54" s="105">
        <v>0.43659999999999999</v>
      </c>
      <c r="AC54" s="105">
        <v>0.76500000000000001</v>
      </c>
      <c r="AD54" s="105">
        <v>0.70179999999999998</v>
      </c>
      <c r="AE54" s="105">
        <v>0.84250000000000003</v>
      </c>
      <c r="AF54" s="105">
        <v>0.63970000000000005</v>
      </c>
      <c r="AG54" s="106">
        <v>0.66610000000000003</v>
      </c>
      <c r="AH54" s="106">
        <v>0.34799999999999998</v>
      </c>
      <c r="AI54" s="101">
        <v>0.58640000000000003</v>
      </c>
      <c r="AJ54" s="101">
        <v>0.76070000000000004</v>
      </c>
      <c r="AK54" s="101">
        <v>0.70609999999999995</v>
      </c>
      <c r="AL54" s="105">
        <v>0.65780000000000005</v>
      </c>
      <c r="AM54" s="105">
        <v>0.70469999999999999</v>
      </c>
      <c r="AN54" s="101"/>
      <c r="AO54" t="s">
        <v>40</v>
      </c>
      <c r="AP54">
        <v>4.1099999999999998E-2</v>
      </c>
      <c r="AQ54">
        <v>0.41899999999999998</v>
      </c>
      <c r="AR54">
        <v>1.3754999999999999</v>
      </c>
      <c r="AS54">
        <v>1.6283000000000001</v>
      </c>
      <c r="AT54">
        <v>2.2652000000000001</v>
      </c>
      <c r="AU54">
        <v>2.0773999999999999</v>
      </c>
      <c r="AV54">
        <v>4.4999999999999998E-2</v>
      </c>
      <c r="AW54">
        <v>1.905</v>
      </c>
      <c r="AX54">
        <v>2.3448000000000002</v>
      </c>
      <c r="AY54">
        <v>1.8625</v>
      </c>
      <c r="AZ54">
        <v>0.77070000000000005</v>
      </c>
      <c r="BA54">
        <v>0.81540000000000001</v>
      </c>
    </row>
    <row r="55" spans="5:53" ht="16" x14ac:dyDescent="0.2">
      <c r="AA55" s="101" t="s">
        <v>41</v>
      </c>
      <c r="AB55" s="105">
        <v>0.43559999999999999</v>
      </c>
      <c r="AC55" s="105">
        <v>0.56859999999999999</v>
      </c>
      <c r="AD55" s="105">
        <v>0.64859999999999995</v>
      </c>
      <c r="AE55" s="105">
        <v>0.97299999999999998</v>
      </c>
      <c r="AF55" s="105">
        <v>0.65990000000000004</v>
      </c>
      <c r="AG55" s="106">
        <v>0.55259999999999998</v>
      </c>
      <c r="AH55" s="106">
        <v>0.30180000000000001</v>
      </c>
      <c r="AI55" s="101">
        <v>0.55579999999999996</v>
      </c>
      <c r="AJ55" s="101">
        <v>0.61219999999999997</v>
      </c>
      <c r="AK55" s="101">
        <v>0.70669999999999999</v>
      </c>
      <c r="AL55" s="105">
        <v>0.33729999999999999</v>
      </c>
      <c r="AM55" s="105">
        <v>0.34710000000000002</v>
      </c>
      <c r="AN55" s="101"/>
      <c r="AO55" t="s">
        <v>41</v>
      </c>
      <c r="AP55">
        <v>4.24E-2</v>
      </c>
      <c r="AQ55">
        <v>0.42370000000000002</v>
      </c>
      <c r="AR55">
        <v>1.3213999999999999</v>
      </c>
      <c r="AS55">
        <v>1.7172000000000001</v>
      </c>
      <c r="AT55">
        <v>1.9451000000000001</v>
      </c>
      <c r="AU55">
        <v>2.2833999999999999</v>
      </c>
      <c r="AV55">
        <v>4.0800000000000003E-2</v>
      </c>
      <c r="AW55">
        <v>2.1791</v>
      </c>
      <c r="AX55">
        <v>1.4659</v>
      </c>
      <c r="AY55">
        <v>0.72789999999999999</v>
      </c>
      <c r="AZ55">
        <v>0.4229</v>
      </c>
      <c r="BA55">
        <v>0.38950000000000001</v>
      </c>
    </row>
    <row r="56" spans="5:53" ht="16" x14ac:dyDescent="0.2">
      <c r="AA56" s="101" t="s">
        <v>42</v>
      </c>
      <c r="AB56" s="105">
        <v>0.41349999999999998</v>
      </c>
      <c r="AC56" s="105">
        <v>0.55779999999999996</v>
      </c>
      <c r="AD56" s="105">
        <v>0.6482</v>
      </c>
      <c r="AE56" s="105">
        <v>0.92559999999999998</v>
      </c>
      <c r="AF56" s="105">
        <v>0.64459999999999995</v>
      </c>
      <c r="AG56" s="106">
        <v>0.54479999999999995</v>
      </c>
      <c r="AH56" s="106">
        <v>0.27739999999999998</v>
      </c>
      <c r="AI56" s="101">
        <v>0.54139999999999999</v>
      </c>
      <c r="AJ56" s="101">
        <v>0.58289999999999997</v>
      </c>
      <c r="AK56" s="101">
        <v>0.70679999999999998</v>
      </c>
      <c r="AL56" s="105">
        <v>0.17510000000000001</v>
      </c>
      <c r="AM56" s="105">
        <v>0.1822</v>
      </c>
      <c r="AN56" s="101"/>
      <c r="AO56" t="s">
        <v>42</v>
      </c>
      <c r="AP56">
        <v>4.1799999999999997E-2</v>
      </c>
      <c r="AQ56">
        <v>0.47770000000000001</v>
      </c>
      <c r="AR56">
        <v>1.2969999999999999</v>
      </c>
      <c r="AS56">
        <v>1.7592000000000001</v>
      </c>
      <c r="AT56">
        <v>1.9288000000000001</v>
      </c>
      <c r="AU56">
        <v>2.3632</v>
      </c>
      <c r="AV56">
        <v>4.1399999999999999E-2</v>
      </c>
      <c r="AW56">
        <v>2.2044000000000001</v>
      </c>
      <c r="AX56">
        <v>1.5235000000000001</v>
      </c>
      <c r="AY56">
        <v>0.7389</v>
      </c>
      <c r="AZ56">
        <v>0.2382</v>
      </c>
      <c r="BA56">
        <v>0.2185</v>
      </c>
    </row>
    <row r="57" spans="5:53" ht="16" x14ac:dyDescent="0.2">
      <c r="AA57" s="101" t="s">
        <v>43</v>
      </c>
      <c r="AB57" s="106">
        <v>0.52749999999999997</v>
      </c>
      <c r="AC57" s="106">
        <v>0.60189999999999999</v>
      </c>
      <c r="AD57" s="106">
        <v>0.7107</v>
      </c>
      <c r="AE57" s="106">
        <v>0.70030000000000003</v>
      </c>
      <c r="AF57" s="106">
        <v>0.64119999999999999</v>
      </c>
      <c r="AG57" s="106">
        <v>0.77280000000000004</v>
      </c>
      <c r="AH57" s="106">
        <v>0.3206</v>
      </c>
      <c r="AI57" s="106">
        <v>0.6351</v>
      </c>
      <c r="AJ57" s="106">
        <v>0.77580000000000005</v>
      </c>
      <c r="AK57" s="106">
        <v>0.26340000000000002</v>
      </c>
      <c r="AL57" s="106">
        <v>9.01E-2</v>
      </c>
      <c r="AM57" s="106">
        <v>9.9699999999999997E-2</v>
      </c>
      <c r="AN57" s="101"/>
      <c r="AO57" t="s">
        <v>43</v>
      </c>
      <c r="AP57" s="96">
        <v>4.7199999999999999E-2</v>
      </c>
      <c r="AQ57" s="96">
        <v>0.63859999999999995</v>
      </c>
      <c r="AR57" s="96">
        <v>2.6568999999999998</v>
      </c>
      <c r="AS57" s="96" t="s">
        <v>13</v>
      </c>
      <c r="AT57" s="96" t="s">
        <v>13</v>
      </c>
      <c r="AU57" s="96" t="s">
        <v>13</v>
      </c>
      <c r="AV57" s="96">
        <v>4.4499999999999998E-2</v>
      </c>
      <c r="AW57" s="96">
        <v>3.8895</v>
      </c>
      <c r="AX57" s="96">
        <v>3.4236</v>
      </c>
      <c r="AY57" s="96">
        <v>1.7975000000000001</v>
      </c>
      <c r="AZ57" s="96">
        <v>0.1343</v>
      </c>
      <c r="BA57" s="96">
        <v>0.13769999999999999</v>
      </c>
    </row>
    <row r="58" spans="5:53" ht="16" x14ac:dyDescent="0.2">
      <c r="AA58" s="101" t="s">
        <v>44</v>
      </c>
      <c r="AB58" s="106">
        <v>0.4914</v>
      </c>
      <c r="AC58" s="106">
        <v>0.55369999999999997</v>
      </c>
      <c r="AD58" s="106">
        <v>0.67710000000000004</v>
      </c>
      <c r="AE58" s="106">
        <v>0.66890000000000005</v>
      </c>
      <c r="AF58" s="106">
        <v>0.63260000000000005</v>
      </c>
      <c r="AG58" s="106">
        <v>0.73780000000000001</v>
      </c>
      <c r="AH58" s="106">
        <v>0.30180000000000001</v>
      </c>
      <c r="AI58" s="106">
        <v>0.64590000000000003</v>
      </c>
      <c r="AJ58" s="106">
        <v>0.78669999999999995</v>
      </c>
      <c r="AK58" s="106">
        <v>0.26</v>
      </c>
      <c r="AL58" s="106">
        <v>5.4300000000000001E-2</v>
      </c>
      <c r="AM58" s="106">
        <v>5.4699999999999999E-2</v>
      </c>
      <c r="AN58" s="101"/>
      <c r="AO58" t="s">
        <v>44</v>
      </c>
      <c r="AP58" s="96">
        <v>4.3900000000000002E-2</v>
      </c>
      <c r="AQ58" s="96">
        <v>0.66459999999999997</v>
      </c>
      <c r="AR58" s="96">
        <v>2.7288999999999999</v>
      </c>
      <c r="AS58" s="96" t="s">
        <v>13</v>
      </c>
      <c r="AT58" s="96" t="s">
        <v>13</v>
      </c>
      <c r="AU58" s="96" t="s">
        <v>13</v>
      </c>
      <c r="AV58" s="96">
        <v>4.3700000000000003E-2</v>
      </c>
      <c r="AW58" s="96" t="s">
        <v>13</v>
      </c>
      <c r="AX58" s="96">
        <v>3.5002</v>
      </c>
      <c r="AY58" s="96">
        <v>1.7258</v>
      </c>
      <c r="AZ58" s="96">
        <v>9.0899999999999995E-2</v>
      </c>
      <c r="BA58" s="96">
        <v>9.2100000000000001E-2</v>
      </c>
    </row>
    <row r="59" spans="5:53" ht="16" x14ac:dyDescent="0.2">
      <c r="AA59" s="101" t="s">
        <v>45</v>
      </c>
      <c r="AB59" s="106">
        <v>0.43759999999999999</v>
      </c>
      <c r="AC59" s="106">
        <v>0.58799999999999997</v>
      </c>
      <c r="AD59" s="106">
        <v>0.68310000000000004</v>
      </c>
      <c r="AE59" s="106">
        <v>0.60970000000000002</v>
      </c>
      <c r="AF59" s="106">
        <v>0.59160000000000001</v>
      </c>
      <c r="AG59" s="106">
        <v>0.47689999999999999</v>
      </c>
      <c r="AH59" s="106">
        <v>0.31769999999999998</v>
      </c>
      <c r="AI59" s="106">
        <v>0.55889999999999995</v>
      </c>
      <c r="AJ59" s="106">
        <v>0.4491</v>
      </c>
      <c r="AK59" s="106">
        <v>0.58150000000000002</v>
      </c>
      <c r="AL59" s="106">
        <v>4.0800000000000003E-2</v>
      </c>
      <c r="AM59" s="106">
        <v>3.9E-2</v>
      </c>
      <c r="AN59" s="101"/>
      <c r="AO59" t="s">
        <v>45</v>
      </c>
      <c r="AP59" s="96">
        <v>4.2500000000000003E-2</v>
      </c>
      <c r="AQ59" s="96">
        <v>0.63690000000000002</v>
      </c>
      <c r="AR59" s="96">
        <v>2.7385000000000002</v>
      </c>
      <c r="AS59" s="96">
        <v>3.6156999999999999</v>
      </c>
      <c r="AT59" s="96">
        <v>3.8555999999999999</v>
      </c>
      <c r="AU59" s="96" t="s">
        <v>13</v>
      </c>
      <c r="AV59" s="96">
        <v>4.6100000000000002E-2</v>
      </c>
      <c r="AW59" s="96">
        <v>3.7136</v>
      </c>
      <c r="AX59" s="96">
        <v>3.6677</v>
      </c>
      <c r="AY59" s="96">
        <v>2.0175000000000001</v>
      </c>
      <c r="AZ59" s="96">
        <v>7.0900000000000005E-2</v>
      </c>
      <c r="BA59" s="96">
        <v>6.93E-2</v>
      </c>
    </row>
    <row r="60" spans="5:53" ht="16" x14ac:dyDescent="0.2">
      <c r="P60" s="160" t="s">
        <v>77</v>
      </c>
      <c r="Q60" s="151"/>
      <c r="AA60" s="101" t="s">
        <v>46</v>
      </c>
      <c r="AB60" s="106">
        <v>0.43809999999999999</v>
      </c>
      <c r="AC60" s="106">
        <v>0.60599999999999998</v>
      </c>
      <c r="AD60" s="106">
        <v>0.68420000000000003</v>
      </c>
      <c r="AE60" s="106">
        <v>0.58079999999999998</v>
      </c>
      <c r="AF60" s="106">
        <v>0.58360000000000001</v>
      </c>
      <c r="AG60" s="106">
        <v>0.49830000000000002</v>
      </c>
      <c r="AH60" s="106">
        <v>0.33150000000000002</v>
      </c>
      <c r="AI60" s="106">
        <v>0.58599999999999997</v>
      </c>
      <c r="AJ60" s="106">
        <v>0.45469999999999999</v>
      </c>
      <c r="AK60" s="106">
        <v>0.5796</v>
      </c>
      <c r="AL60" s="106">
        <v>1.9599999999999999E-2</v>
      </c>
      <c r="AM60" s="106">
        <v>2.01E-2</v>
      </c>
      <c r="AN60" s="101"/>
      <c r="AO60" t="s">
        <v>46</v>
      </c>
      <c r="AP60" s="96">
        <v>4.4299999999999999E-2</v>
      </c>
      <c r="AQ60" s="96">
        <v>0.6321</v>
      </c>
      <c r="AR60" s="96">
        <v>2.8069000000000002</v>
      </c>
      <c r="AS60" s="96">
        <v>3.5276000000000001</v>
      </c>
      <c r="AT60" s="96">
        <v>3.8889</v>
      </c>
      <c r="AU60" s="96" t="s">
        <v>13</v>
      </c>
      <c r="AV60" s="96">
        <v>4.8099999999999997E-2</v>
      </c>
      <c r="AW60" s="96">
        <v>3.6154999999999999</v>
      </c>
      <c r="AX60" s="96">
        <v>3.4893999999999998</v>
      </c>
      <c r="AY60" s="96">
        <v>2.0089000000000001</v>
      </c>
      <c r="AZ60" s="96">
        <v>5.11E-2</v>
      </c>
      <c r="BA60" s="96">
        <v>5.3400000000000003E-2</v>
      </c>
    </row>
    <row r="61" spans="5:53" ht="16" x14ac:dyDescent="0.2">
      <c r="P61" s="160">
        <f>1087.753/875.4811</f>
        <v>1.2424631439787792</v>
      </c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5:53" ht="16" x14ac:dyDescent="0.2">
      <c r="P62" s="160">
        <f>840.4269/640.8988</f>
        <v>1.3113254385871842</v>
      </c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5:53" ht="16" x14ac:dyDescent="0.2">
      <c r="P63" s="160"/>
      <c r="Z63" s="9"/>
      <c r="AA63" s="101" t="s">
        <v>51</v>
      </c>
      <c r="AB63" s="104">
        <v>43112.677233796298</v>
      </c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t="s">
        <v>51</v>
      </c>
      <c r="AP63" s="95">
        <v>43104.772303240738</v>
      </c>
      <c r="AQ63"/>
      <c r="AR63"/>
      <c r="AS63"/>
      <c r="AT63"/>
      <c r="AU63"/>
      <c r="AV63"/>
      <c r="AW63"/>
      <c r="AX63"/>
      <c r="AY63"/>
      <c r="AZ63"/>
      <c r="BA63"/>
    </row>
    <row r="64" spans="5:53" ht="16" x14ac:dyDescent="0.2">
      <c r="P64" s="160"/>
      <c r="Z64" s="9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59" t="s">
        <v>397</v>
      </c>
      <c r="AM64" s="159"/>
      <c r="AN64" s="101"/>
    </row>
    <row r="65" spans="16:40" ht="35" thickBot="1" x14ac:dyDescent="0.25">
      <c r="P65" s="160">
        <f>1150.95/952.0647</f>
        <v>1.2088989330241946</v>
      </c>
      <c r="Z65" s="9"/>
      <c r="AA65" s="144" t="s">
        <v>193</v>
      </c>
      <c r="AB65" s="145">
        <f>AB52</f>
        <v>1</v>
      </c>
      <c r="AC65" s="145">
        <f t="shared" ref="AC65:AM65" si="28">AC52</f>
        <v>2</v>
      </c>
      <c r="AD65" s="145">
        <f t="shared" si="28"/>
        <v>3</v>
      </c>
      <c r="AE65" s="145">
        <f t="shared" si="28"/>
        <v>4</v>
      </c>
      <c r="AF65" s="145">
        <f t="shared" si="28"/>
        <v>5</v>
      </c>
      <c r="AG65" s="145">
        <f t="shared" si="28"/>
        <v>6</v>
      </c>
      <c r="AH65" s="145">
        <f t="shared" si="28"/>
        <v>7</v>
      </c>
      <c r="AI65" s="145">
        <f t="shared" si="28"/>
        <v>8</v>
      </c>
      <c r="AJ65" s="145">
        <f t="shared" si="28"/>
        <v>9</v>
      </c>
      <c r="AK65" s="145">
        <f t="shared" si="28"/>
        <v>10</v>
      </c>
      <c r="AL65" s="145">
        <f t="shared" si="28"/>
        <v>11</v>
      </c>
      <c r="AM65" s="145">
        <f t="shared" si="28"/>
        <v>12</v>
      </c>
      <c r="AN65" s="101"/>
    </row>
    <row r="66" spans="16:40" ht="49" thickBot="1" x14ac:dyDescent="0.25">
      <c r="P66" s="160">
        <f>1236.833/986.4035</f>
        <v>1.2538813984338053</v>
      </c>
      <c r="Z66" s="148" t="s">
        <v>409</v>
      </c>
      <c r="AA66" s="145" t="str">
        <f>AA53</f>
        <v>A</v>
      </c>
      <c r="AB66" s="1" t="s">
        <v>351</v>
      </c>
      <c r="AC66" s="1" t="s">
        <v>352</v>
      </c>
      <c r="AD66" s="1" t="s">
        <v>353</v>
      </c>
      <c r="AE66" s="1" t="s">
        <v>354</v>
      </c>
      <c r="AF66" s="1" t="s">
        <v>355</v>
      </c>
      <c r="AG66" s="1" t="s">
        <v>356</v>
      </c>
      <c r="AH66" s="1" t="s">
        <v>358</v>
      </c>
      <c r="AI66" s="1" t="s">
        <v>359</v>
      </c>
      <c r="AJ66" s="1" t="s">
        <v>357</v>
      </c>
      <c r="AK66" s="50" t="s">
        <v>398</v>
      </c>
      <c r="AL66" s="8">
        <v>1000</v>
      </c>
      <c r="AM66" s="8">
        <v>1000</v>
      </c>
      <c r="AN66" s="101"/>
    </row>
    <row r="67" spans="16:40" ht="49" thickBot="1" x14ac:dyDescent="0.25">
      <c r="P67" s="161">
        <f>AVERAGE(P61:P66)</f>
        <v>1.2541422285059909</v>
      </c>
      <c r="Z67" s="148"/>
      <c r="AA67" s="145" t="str">
        <f t="shared" ref="AA67:AA73" si="29">AA54</f>
        <v>B</v>
      </c>
      <c r="AB67" s="1" t="s">
        <v>360</v>
      </c>
      <c r="AC67" s="1" t="s">
        <v>361</v>
      </c>
      <c r="AD67" s="1" t="s">
        <v>362</v>
      </c>
      <c r="AE67" s="1" t="s">
        <v>363</v>
      </c>
      <c r="AF67" s="1" t="s">
        <v>364</v>
      </c>
      <c r="AG67" s="1" t="s">
        <v>365</v>
      </c>
      <c r="AH67" s="1" t="s">
        <v>367</v>
      </c>
      <c r="AI67" s="1" t="s">
        <v>368</v>
      </c>
      <c r="AJ67" s="1" t="s">
        <v>366</v>
      </c>
      <c r="AK67" s="50" t="s">
        <v>399</v>
      </c>
      <c r="AL67" s="8">
        <v>500</v>
      </c>
      <c r="AM67" s="8">
        <v>500</v>
      </c>
    </row>
    <row r="68" spans="16:40" ht="49" thickBot="1" x14ac:dyDescent="0.25">
      <c r="Z68" s="148"/>
      <c r="AA68" s="145" t="str">
        <f t="shared" si="29"/>
        <v>C</v>
      </c>
      <c r="AB68" s="1" t="s">
        <v>369</v>
      </c>
      <c r="AC68" s="1" t="s">
        <v>370</v>
      </c>
      <c r="AD68" s="1" t="s">
        <v>371</v>
      </c>
      <c r="AE68" s="1" t="s">
        <v>372</v>
      </c>
      <c r="AF68" s="1" t="s">
        <v>373</v>
      </c>
      <c r="AG68" s="1" t="s">
        <v>374</v>
      </c>
      <c r="AH68" s="1" t="s">
        <v>376</v>
      </c>
      <c r="AI68" s="1" t="s">
        <v>377</v>
      </c>
      <c r="AJ68" s="1" t="s">
        <v>375</v>
      </c>
      <c r="AK68" s="147" t="s">
        <v>400</v>
      </c>
      <c r="AL68" s="8">
        <v>250</v>
      </c>
      <c r="AM68" s="8">
        <v>250</v>
      </c>
    </row>
    <row r="69" spans="16:40" ht="49" thickBot="1" x14ac:dyDescent="0.25">
      <c r="Z69" s="148"/>
      <c r="AA69" s="145" t="str">
        <f t="shared" si="29"/>
        <v>D</v>
      </c>
      <c r="AB69" s="1" t="s">
        <v>378</v>
      </c>
      <c r="AC69" s="1" t="s">
        <v>379</v>
      </c>
      <c r="AD69" s="1" t="s">
        <v>380</v>
      </c>
      <c r="AE69" s="1" t="s">
        <v>381</v>
      </c>
      <c r="AF69" s="1" t="s">
        <v>382</v>
      </c>
      <c r="AG69" s="1" t="s">
        <v>383</v>
      </c>
      <c r="AH69" s="1" t="s">
        <v>385</v>
      </c>
      <c r="AI69" s="1" t="s">
        <v>386</v>
      </c>
      <c r="AJ69" s="1" t="s">
        <v>384</v>
      </c>
      <c r="AK69" s="147" t="s">
        <v>401</v>
      </c>
      <c r="AL69" s="8">
        <v>125</v>
      </c>
      <c r="AM69" s="8">
        <v>125</v>
      </c>
    </row>
    <row r="70" spans="16:40" ht="49" thickBot="1" x14ac:dyDescent="0.25">
      <c r="Z70" s="148"/>
      <c r="AA70" s="145" t="str">
        <f t="shared" si="29"/>
        <v>E</v>
      </c>
      <c r="AB70" s="1" t="s">
        <v>351</v>
      </c>
      <c r="AC70" s="1" t="s">
        <v>352</v>
      </c>
      <c r="AD70" s="1" t="s">
        <v>353</v>
      </c>
      <c r="AE70" s="1" t="s">
        <v>354</v>
      </c>
      <c r="AF70" s="1" t="s">
        <v>355</v>
      </c>
      <c r="AG70" s="1" t="s">
        <v>356</v>
      </c>
      <c r="AH70" s="1" t="s">
        <v>358</v>
      </c>
      <c r="AI70" s="1" t="s">
        <v>359</v>
      </c>
      <c r="AJ70" s="1" t="s">
        <v>357</v>
      </c>
      <c r="AK70" s="50" t="s">
        <v>398</v>
      </c>
      <c r="AL70" s="8">
        <v>62.5</v>
      </c>
      <c r="AM70" s="8">
        <v>62.5</v>
      </c>
    </row>
    <row r="71" spans="16:40" ht="49" thickBot="1" x14ac:dyDescent="0.25">
      <c r="Z71" s="148"/>
      <c r="AA71" s="145" t="str">
        <f t="shared" si="29"/>
        <v>F</v>
      </c>
      <c r="AB71" s="1" t="s">
        <v>360</v>
      </c>
      <c r="AC71" s="1" t="s">
        <v>361</v>
      </c>
      <c r="AD71" s="1" t="s">
        <v>362</v>
      </c>
      <c r="AE71" s="1" t="s">
        <v>363</v>
      </c>
      <c r="AF71" s="1" t="s">
        <v>364</v>
      </c>
      <c r="AG71" s="1" t="s">
        <v>365</v>
      </c>
      <c r="AH71" s="1" t="s">
        <v>367</v>
      </c>
      <c r="AI71" s="1" t="s">
        <v>368</v>
      </c>
      <c r="AJ71" s="1" t="s">
        <v>366</v>
      </c>
      <c r="AK71" s="50" t="s">
        <v>399</v>
      </c>
      <c r="AL71" s="8">
        <v>31.25</v>
      </c>
      <c r="AM71" s="8">
        <v>31.25</v>
      </c>
    </row>
    <row r="72" spans="16:40" ht="49" thickBot="1" x14ac:dyDescent="0.25">
      <c r="Z72" s="148"/>
      <c r="AA72" s="145" t="str">
        <f t="shared" si="29"/>
        <v>G</v>
      </c>
      <c r="AB72" s="1" t="s">
        <v>369</v>
      </c>
      <c r="AC72" s="1" t="s">
        <v>370</v>
      </c>
      <c r="AD72" s="1" t="s">
        <v>371</v>
      </c>
      <c r="AE72" s="1" t="s">
        <v>372</v>
      </c>
      <c r="AF72" s="1" t="s">
        <v>373</v>
      </c>
      <c r="AG72" s="1" t="s">
        <v>374</v>
      </c>
      <c r="AH72" s="1" t="s">
        <v>376</v>
      </c>
      <c r="AI72" s="1" t="s">
        <v>377</v>
      </c>
      <c r="AJ72" s="1" t="s">
        <v>375</v>
      </c>
      <c r="AK72" s="147" t="s">
        <v>400</v>
      </c>
      <c r="AL72" s="8">
        <v>15.625</v>
      </c>
      <c r="AM72" s="8">
        <v>15.625</v>
      </c>
    </row>
    <row r="73" spans="16:40" ht="48" x14ac:dyDescent="0.2">
      <c r="Z73" s="148"/>
      <c r="AA73" s="145" t="str">
        <f t="shared" si="29"/>
        <v>H</v>
      </c>
      <c r="AB73" s="1" t="s">
        <v>378</v>
      </c>
      <c r="AC73" s="1" t="s">
        <v>379</v>
      </c>
      <c r="AD73" s="1" t="s">
        <v>380</v>
      </c>
      <c r="AE73" s="1" t="s">
        <v>381</v>
      </c>
      <c r="AF73" s="1" t="s">
        <v>382</v>
      </c>
      <c r="AG73" s="1" t="s">
        <v>383</v>
      </c>
      <c r="AH73" s="1" t="s">
        <v>385</v>
      </c>
      <c r="AI73" s="1" t="s">
        <v>386</v>
      </c>
      <c r="AJ73" s="1" t="s">
        <v>384</v>
      </c>
      <c r="AK73" s="147" t="s">
        <v>401</v>
      </c>
      <c r="AL73" s="150" t="s">
        <v>48</v>
      </c>
      <c r="AM73" s="150" t="s">
        <v>48</v>
      </c>
    </row>
  </sheetData>
  <mergeCells count="2">
    <mergeCell ref="AL64:AM64"/>
    <mergeCell ref="Z66:Z7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666F-43AC-0D47-A9C2-F22E5433AADF}">
  <dimension ref="A1:AN82"/>
  <sheetViews>
    <sheetView showZeros="0" topLeftCell="N1" workbookViewId="0">
      <selection activeCell="Y60" sqref="Y60"/>
    </sheetView>
  </sheetViews>
  <sheetFormatPr baseColWidth="10" defaultColWidth="8.83203125" defaultRowHeight="15" x14ac:dyDescent="0.2"/>
  <cols>
    <col min="1" max="1" width="34.5" style="2" customWidth="1"/>
    <col min="2" max="2" width="22" style="11" customWidth="1"/>
    <col min="3" max="3" width="31.33203125" style="9" customWidth="1"/>
    <col min="4" max="4" width="12" style="6" customWidth="1"/>
    <col min="5" max="14" width="8.83203125" style="6"/>
    <col min="15" max="16" width="8.83203125" style="58"/>
    <col min="17" max="25" width="8.83203125" style="6"/>
    <col min="26" max="26" width="10.83203125" style="6" customWidth="1"/>
    <col min="27" max="28" width="8.83203125" style="6"/>
    <col min="29" max="29" width="15.33203125" style="6" customWidth="1"/>
    <col min="30" max="30" width="16.6640625" style="6" customWidth="1"/>
    <col min="31" max="31" width="15.33203125" style="6" customWidth="1"/>
    <col min="32" max="32" width="16.5" style="6" customWidth="1"/>
    <col min="33" max="33" width="13.6640625" style="6" customWidth="1"/>
    <col min="34" max="34" width="15.1640625" style="6" customWidth="1"/>
    <col min="35" max="35" width="13.1640625" style="6" customWidth="1"/>
    <col min="36" max="36" width="15.5" style="6" customWidth="1"/>
    <col min="37" max="37" width="12.5" style="6" customWidth="1"/>
    <col min="38" max="16384" width="8.83203125" style="6"/>
  </cols>
  <sheetData>
    <row r="1" spans="1:40" x14ac:dyDescent="0.2">
      <c r="D1" s="3"/>
    </row>
    <row r="2" spans="1:40" ht="16" x14ac:dyDescent="0.2">
      <c r="A2" s="2" t="str">
        <f>'VSV eGFP 171013 '!A2</f>
        <v>Bolded = raw data</v>
      </c>
      <c r="B2" s="11">
        <f>'VSV eGFP 171013 '!B2</f>
        <v>0</v>
      </c>
      <c r="C2" s="9">
        <f>'VSV eGFP 171013 '!C2</f>
        <v>0</v>
      </c>
      <c r="D2" s="3"/>
      <c r="AA2" t="s">
        <v>2</v>
      </c>
      <c r="AB2"/>
      <c r="AC2"/>
      <c r="AD2"/>
      <c r="AE2" t="s">
        <v>3</v>
      </c>
      <c r="AF2"/>
      <c r="AG2"/>
      <c r="AH2"/>
      <c r="AI2"/>
      <c r="AJ2"/>
      <c r="AK2"/>
      <c r="AL2"/>
      <c r="AM2"/>
      <c r="AN2"/>
    </row>
    <row r="3" spans="1:40" ht="32" x14ac:dyDescent="0.2">
      <c r="A3" s="2" t="str">
        <f>'VSV eGFP 171013 '!A3</f>
        <v>4 separate samples, 2x replicate s from each for ELISA</v>
      </c>
      <c r="B3" s="11">
        <f>'VSV eGFP 171013 '!B3</f>
        <v>0</v>
      </c>
      <c r="C3" s="9">
        <f>'VSV eGFP 171013 '!C3</f>
        <v>0</v>
      </c>
      <c r="D3" s="3"/>
      <c r="AA3" t="s">
        <v>4</v>
      </c>
      <c r="AB3"/>
      <c r="AC3"/>
      <c r="AD3"/>
      <c r="AE3" t="s">
        <v>5</v>
      </c>
      <c r="AF3"/>
      <c r="AG3"/>
      <c r="AH3"/>
      <c r="AI3"/>
      <c r="AJ3"/>
      <c r="AK3"/>
      <c r="AL3"/>
      <c r="AM3"/>
      <c r="AN3"/>
    </row>
    <row r="4" spans="1:40" ht="17" thickBot="1" x14ac:dyDescent="0.25">
      <c r="A4" s="2" t="str">
        <f>'VSV eGFP 171013 '!A4</f>
        <v>Cell type</v>
      </c>
      <c r="B4" s="11">
        <f>'VSV eGFP 171013 '!B4</f>
        <v>0</v>
      </c>
      <c r="C4" s="9">
        <f>'VSV eGFP 171013 '!C4</f>
        <v>0</v>
      </c>
      <c r="E4" s="149" t="s">
        <v>8</v>
      </c>
      <c r="F4" s="149"/>
      <c r="G4" s="149"/>
      <c r="H4" s="149"/>
      <c r="I4" s="149"/>
      <c r="J4" s="149"/>
      <c r="K4" s="149"/>
      <c r="L4" s="149"/>
      <c r="M4" s="149"/>
      <c r="N4" s="149"/>
      <c r="O4" s="59"/>
      <c r="AA4" t="s">
        <v>6</v>
      </c>
      <c r="AB4"/>
      <c r="AC4"/>
      <c r="AD4"/>
      <c r="AE4" t="s">
        <v>7</v>
      </c>
      <c r="AF4"/>
      <c r="AG4"/>
      <c r="AH4"/>
      <c r="AI4"/>
      <c r="AJ4"/>
      <c r="AK4"/>
      <c r="AL4"/>
      <c r="AM4"/>
      <c r="AN4"/>
    </row>
    <row r="5" spans="1:40" ht="17" thickBot="1" x14ac:dyDescent="0.25">
      <c r="A5" s="2" t="str">
        <f>'VSV eGFP 171013 '!A5</f>
        <v>Stimulation -</v>
      </c>
      <c r="B5" s="11" t="str">
        <f>'VSV eGFP 171013 '!B5</f>
        <v>2017 10 02</v>
      </c>
      <c r="C5" s="9">
        <f>'VSV eGFP 171013 '!C5</f>
        <v>0</v>
      </c>
      <c r="D5" s="9" t="s">
        <v>0</v>
      </c>
      <c r="E5" s="76" t="s">
        <v>188</v>
      </c>
      <c r="F5" s="76" t="s">
        <v>55</v>
      </c>
      <c r="G5" s="76" t="s">
        <v>56</v>
      </c>
      <c r="H5" s="76" t="s">
        <v>57</v>
      </c>
      <c r="I5" s="76" t="s">
        <v>58</v>
      </c>
      <c r="J5" s="76" t="s">
        <v>59</v>
      </c>
      <c r="K5" s="76" t="s">
        <v>60</v>
      </c>
      <c r="L5" s="76" t="s">
        <v>61</v>
      </c>
      <c r="M5" s="76" t="s">
        <v>62</v>
      </c>
      <c r="N5" s="76" t="s">
        <v>1</v>
      </c>
      <c r="O5" s="84"/>
      <c r="P5" s="85"/>
      <c r="S5" s="16" t="s">
        <v>84</v>
      </c>
      <c r="T5" s="16" t="s">
        <v>85</v>
      </c>
      <c r="U5" s="3" t="s">
        <v>12</v>
      </c>
      <c r="V5" s="3" t="s">
        <v>16</v>
      </c>
      <c r="W5" s="3" t="s">
        <v>18</v>
      </c>
      <c r="Y5" s="6" t="s">
        <v>64</v>
      </c>
      <c r="Z5" s="6" t="s">
        <v>65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6" x14ac:dyDescent="0.2">
      <c r="A6" s="2" t="str">
        <f>'VSV eGFP 171013 '!A6</f>
        <v xml:space="preserve">CXCL10 ELISA date </v>
      </c>
      <c r="B6" s="79" t="s">
        <v>87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/>
      <c r="P6" s="67"/>
      <c r="S6" s="3">
        <v>2.1452999114990234</v>
      </c>
      <c r="T6" s="3">
        <v>2.1981000900268555</v>
      </c>
      <c r="U6" s="3">
        <f>AVERAGE(S6:T6)</f>
        <v>2.1717000007629395</v>
      </c>
      <c r="V6" s="3">
        <f t="shared" ref="V6:V13" si="0">U6-$U$13</f>
        <v>2.1454000007361174</v>
      </c>
      <c r="W6" s="3">
        <v>1000</v>
      </c>
      <c r="Y6" s="6">
        <v>479.85</v>
      </c>
      <c r="Z6" s="6">
        <v>0.99439999999999995</v>
      </c>
      <c r="AA6" t="s">
        <v>52</v>
      </c>
      <c r="AB6" s="93">
        <v>43167</v>
      </c>
      <c r="AC6"/>
      <c r="AD6"/>
      <c r="AE6"/>
      <c r="AF6"/>
      <c r="AG6"/>
      <c r="AH6"/>
      <c r="AI6"/>
      <c r="AJ6"/>
      <c r="AK6"/>
      <c r="AL6"/>
      <c r="AM6"/>
      <c r="AN6"/>
    </row>
    <row r="7" spans="1:40" ht="16" x14ac:dyDescent="0.2">
      <c r="A7" s="2">
        <f>'VSV eGFP 171013 '!A7</f>
        <v>0</v>
      </c>
      <c r="B7" s="11">
        <f>'VSV eGFP 171013 '!B7</f>
        <v>0</v>
      </c>
      <c r="C7" s="9">
        <f>'VSV eGFP 171013 '!C7</f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/>
      <c r="P7" s="67"/>
      <c r="S7" s="3">
        <v>0.95459997653961182</v>
      </c>
      <c r="T7" s="3">
        <v>1.0018999576568604</v>
      </c>
      <c r="U7" s="3">
        <f t="shared" ref="U7:U13" si="1">AVERAGE(S7:T7)</f>
        <v>0.97824996709823608</v>
      </c>
      <c r="V7" s="3">
        <f t="shared" si="0"/>
        <v>0.95194996707141399</v>
      </c>
      <c r="W7" s="3">
        <v>500</v>
      </c>
      <c r="AA7" t="s">
        <v>53</v>
      </c>
      <c r="AB7" s="94">
        <v>0.62812499999999993</v>
      </c>
      <c r="AC7"/>
      <c r="AD7"/>
      <c r="AE7"/>
      <c r="AF7"/>
      <c r="AG7"/>
      <c r="AH7"/>
      <c r="AI7"/>
      <c r="AJ7"/>
      <c r="AK7"/>
      <c r="AL7"/>
      <c r="AM7"/>
      <c r="AN7"/>
    </row>
    <row r="8" spans="1:40" ht="16" x14ac:dyDescent="0.2">
      <c r="A8" s="2" t="str">
        <f>'VSV eGFP 171013 '!A8</f>
        <v>DILUTION for elisa</v>
      </c>
      <c r="B8" s="11">
        <f>'VSV eGFP 171013 '!B8</f>
        <v>0</v>
      </c>
      <c r="D8" s="9">
        <v>1</v>
      </c>
      <c r="E8" s="9">
        <v>30</v>
      </c>
      <c r="F8" s="9">
        <v>30</v>
      </c>
      <c r="G8" s="9">
        <v>100</v>
      </c>
      <c r="H8" s="9">
        <v>100</v>
      </c>
      <c r="I8" s="9">
        <v>200</v>
      </c>
      <c r="J8" s="9">
        <v>200</v>
      </c>
      <c r="K8" s="9">
        <v>100</v>
      </c>
      <c r="L8" s="9">
        <v>30</v>
      </c>
      <c r="M8" s="9">
        <v>200</v>
      </c>
      <c r="N8" s="9">
        <v>30</v>
      </c>
      <c r="O8" s="59"/>
      <c r="P8" s="67"/>
      <c r="S8" s="3">
        <v>0.46919998526573181</v>
      </c>
      <c r="T8" s="3">
        <v>0.48120000958442688</v>
      </c>
      <c r="U8" s="3">
        <f t="shared" si="1"/>
        <v>0.47519999742507935</v>
      </c>
      <c r="V8" s="3">
        <f t="shared" si="0"/>
        <v>0.44889999739825726</v>
      </c>
      <c r="W8" s="3">
        <v>250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32" x14ac:dyDescent="0.2">
      <c r="A9" s="2" t="s">
        <v>189</v>
      </c>
      <c r="B9" s="75" t="s">
        <v>86</v>
      </c>
      <c r="C9" s="80" t="s">
        <v>78</v>
      </c>
      <c r="D9" s="8">
        <f>U13</f>
        <v>2.630000002682209E-2</v>
      </c>
      <c r="E9" s="8">
        <v>2.5499999523162842E-2</v>
      </c>
      <c r="F9" s="8">
        <v>0.55640000104904175</v>
      </c>
      <c r="G9" s="8">
        <v>0.55610001087188721</v>
      </c>
      <c r="H9" s="8">
        <v>0.71880000829696655</v>
      </c>
      <c r="I9" s="8">
        <v>0.59609997272491455</v>
      </c>
      <c r="J9" s="8">
        <v>0.75110000371932983</v>
      </c>
      <c r="K9" s="8">
        <v>0.56220000982284546</v>
      </c>
      <c r="L9" s="8">
        <v>1.1435999870300293</v>
      </c>
      <c r="M9" s="8">
        <v>0.74870002269744873</v>
      </c>
      <c r="N9" s="8">
        <v>2.930000051856041E-2</v>
      </c>
      <c r="O9" s="59"/>
      <c r="P9" s="67"/>
      <c r="S9" s="3">
        <v>0.23469999432563782</v>
      </c>
      <c r="T9" s="3">
        <v>0.24750000238418579</v>
      </c>
      <c r="U9" s="3">
        <f t="shared" si="1"/>
        <v>0.2410999983549118</v>
      </c>
      <c r="V9" s="3">
        <f t="shared" si="0"/>
        <v>0.21479999832808971</v>
      </c>
      <c r="W9" s="3">
        <v>125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16" x14ac:dyDescent="0.2">
      <c r="A10" s="2">
        <f>'VSV eGFP 171013 '!A10</f>
        <v>0</v>
      </c>
      <c r="B10" s="11">
        <f>'VSV eGFP 171013 '!B10</f>
        <v>0</v>
      </c>
      <c r="C10" s="80" t="s">
        <v>79</v>
      </c>
      <c r="D10" s="9"/>
      <c r="E10" s="8">
        <v>2.5299999862909317E-2</v>
      </c>
      <c r="F10" s="8">
        <v>0.58190000057220459</v>
      </c>
      <c r="G10" s="8">
        <v>0.52090001106262207</v>
      </c>
      <c r="H10" s="8">
        <v>0.71789997816085815</v>
      </c>
      <c r="I10" s="8">
        <v>0.53420001268386841</v>
      </c>
      <c r="J10" s="8">
        <v>0.72579997777938843</v>
      </c>
      <c r="K10" s="8">
        <v>0.54430001974105835</v>
      </c>
      <c r="L10" s="8">
        <v>1.087399959564209</v>
      </c>
      <c r="M10" s="8">
        <v>0.74500000476837158</v>
      </c>
      <c r="N10" s="8">
        <v>2.6499999687075615E-2</v>
      </c>
      <c r="O10" s="59"/>
      <c r="P10" s="67"/>
      <c r="S10" s="3">
        <v>0.12729999423027039</v>
      </c>
      <c r="T10" s="3">
        <v>0.12710000574588776</v>
      </c>
      <c r="U10" s="3">
        <f t="shared" si="1"/>
        <v>0.12719999998807907</v>
      </c>
      <c r="V10" s="3">
        <f t="shared" si="0"/>
        <v>0.10089999996125698</v>
      </c>
      <c r="W10" s="3">
        <v>62.5</v>
      </c>
      <c r="AA10" t="s">
        <v>10</v>
      </c>
      <c r="AB10"/>
      <c r="AC10"/>
      <c r="AD10"/>
      <c r="AE10" t="s">
        <v>11</v>
      </c>
      <c r="AF10"/>
      <c r="AG10"/>
      <c r="AH10"/>
      <c r="AI10"/>
      <c r="AJ10"/>
      <c r="AK10"/>
      <c r="AL10"/>
      <c r="AM10"/>
      <c r="AN10"/>
    </row>
    <row r="11" spans="1:40" ht="16" x14ac:dyDescent="0.2">
      <c r="A11" s="2">
        <f>'VSV eGFP 171013 '!A11</f>
        <v>0</v>
      </c>
      <c r="B11" s="11">
        <f>'VSV eGFP 171013 '!B11</f>
        <v>0</v>
      </c>
      <c r="C11" s="80" t="s">
        <v>12</v>
      </c>
      <c r="D11" s="77">
        <f>AVERAGE(D9:D10)</f>
        <v>2.630000002682209E-2</v>
      </c>
      <c r="E11" s="77">
        <f>AVERAGE(E9:E10)</f>
        <v>2.5399999693036079E-2</v>
      </c>
      <c r="F11" s="77">
        <f t="shared" ref="F11:L11" si="2">AVERAGE(F9:F10)</f>
        <v>0.56915000081062317</v>
      </c>
      <c r="G11" s="77">
        <f t="shared" si="2"/>
        <v>0.53850001096725464</v>
      </c>
      <c r="H11" s="77">
        <f t="shared" si="2"/>
        <v>0.71834999322891235</v>
      </c>
      <c r="I11" s="77">
        <f t="shared" si="2"/>
        <v>0.56514999270439148</v>
      </c>
      <c r="J11" s="77">
        <f t="shared" si="2"/>
        <v>0.73844999074935913</v>
      </c>
      <c r="K11" s="77">
        <f t="shared" si="2"/>
        <v>0.5532500147819519</v>
      </c>
      <c r="L11" s="77">
        <f t="shared" si="2"/>
        <v>1.1154999732971191</v>
      </c>
      <c r="M11" s="77">
        <f>AVERAGE(M9:M10)</f>
        <v>0.74685001373291016</v>
      </c>
      <c r="N11" s="77">
        <f>AVERAGE(N9:N10)</f>
        <v>2.7900000102818012E-2</v>
      </c>
      <c r="O11" s="59"/>
      <c r="P11" s="67"/>
      <c r="S11" s="3">
        <v>7.7899999916553497E-2</v>
      </c>
      <c r="T11" s="3">
        <v>7.5999997556209564E-2</v>
      </c>
      <c r="U11" s="3">
        <f t="shared" si="1"/>
        <v>7.6949998736381531E-2</v>
      </c>
      <c r="V11" s="3">
        <f t="shared" si="0"/>
        <v>5.0649998709559441E-2</v>
      </c>
      <c r="W11" s="3">
        <v>31.25</v>
      </c>
      <c r="AA11" t="s">
        <v>14</v>
      </c>
      <c r="AB11"/>
      <c r="AC11"/>
      <c r="AD11"/>
      <c r="AE11" t="s">
        <v>15</v>
      </c>
      <c r="AF11"/>
      <c r="AG11"/>
      <c r="AH11"/>
      <c r="AI11"/>
      <c r="AJ11"/>
      <c r="AK11"/>
      <c r="AL11"/>
      <c r="AM11"/>
      <c r="AN11"/>
    </row>
    <row r="12" spans="1:40" ht="48" x14ac:dyDescent="0.2">
      <c r="A12" s="2" t="str">
        <f>'VSV eGFP 171013 '!A12</f>
        <v>Background minimal and at times &gt;mock, therefore values used as is, given transformation to fold change</v>
      </c>
      <c r="B12" s="11">
        <f>'VSV eGFP 171013 '!B12</f>
        <v>0</v>
      </c>
      <c r="C12" s="80" t="s">
        <v>16</v>
      </c>
      <c r="D12" s="9"/>
      <c r="E12" s="9">
        <f t="shared" ref="E12:N12" si="3">E11-$U$13</f>
        <v>-9.0000033378601074E-4</v>
      </c>
      <c r="F12" s="9">
        <f t="shared" si="3"/>
        <v>0.54285000078380108</v>
      </c>
      <c r="G12" s="9">
        <f t="shared" si="3"/>
        <v>0.51220001094043255</v>
      </c>
      <c r="H12" s="9">
        <f t="shared" si="3"/>
        <v>0.69204999320209026</v>
      </c>
      <c r="I12" s="9">
        <f t="shared" si="3"/>
        <v>0.53884999267756939</v>
      </c>
      <c r="J12" s="9">
        <f t="shared" si="3"/>
        <v>0.71214999072253704</v>
      </c>
      <c r="K12" s="9">
        <f t="shared" si="3"/>
        <v>0.52695001475512981</v>
      </c>
      <c r="L12" s="9">
        <f t="shared" si="3"/>
        <v>1.0891999732702971</v>
      </c>
      <c r="M12" s="9">
        <f t="shared" si="3"/>
        <v>0.72055001370608807</v>
      </c>
      <c r="N12" s="9">
        <f t="shared" si="3"/>
        <v>1.6000000759959221E-3</v>
      </c>
      <c r="O12" s="59"/>
      <c r="P12" s="67"/>
      <c r="S12" s="3">
        <v>5.1399998366832733E-2</v>
      </c>
      <c r="T12" s="3">
        <v>5.0999999046325684E-2</v>
      </c>
      <c r="U12" s="3">
        <f t="shared" si="1"/>
        <v>5.1199998706579208E-2</v>
      </c>
      <c r="V12" s="3">
        <f t="shared" si="0"/>
        <v>2.4899998679757118E-2</v>
      </c>
      <c r="W12" s="3">
        <v>15.625</v>
      </c>
      <c r="AA12" t="s">
        <v>17</v>
      </c>
      <c r="AB12"/>
      <c r="AC12"/>
      <c r="AD12"/>
      <c r="AE12" t="s">
        <v>191</v>
      </c>
      <c r="AF12"/>
      <c r="AG12"/>
      <c r="AH12"/>
      <c r="AI12"/>
      <c r="AJ12"/>
      <c r="AK12"/>
      <c r="AL12"/>
      <c r="AM12"/>
      <c r="AN12"/>
    </row>
    <row r="13" spans="1:40" ht="16" x14ac:dyDescent="0.2">
      <c r="A13" s="2" t="str">
        <f>'VSV eGFP 171013 '!A13</f>
        <v>Therefore overall</v>
      </c>
      <c r="B13" s="11">
        <f>'VSV eGFP 171013 '!B13</f>
        <v>0</v>
      </c>
      <c r="C13" s="80" t="s">
        <v>88</v>
      </c>
      <c r="D13" s="9">
        <f>D11*479.85</f>
        <v>12.62005501287058</v>
      </c>
      <c r="E13" s="9">
        <f>E11*479.85</f>
        <v>12.188189852703363</v>
      </c>
      <c r="F13" s="9">
        <f t="shared" ref="F13:N13" si="4">F11*479.85</f>
        <v>273.10662788897753</v>
      </c>
      <c r="G13" s="9">
        <f t="shared" si="4"/>
        <v>258.39923026263716</v>
      </c>
      <c r="H13" s="9">
        <f t="shared" si="4"/>
        <v>344.7002442508936</v>
      </c>
      <c r="I13" s="9">
        <f t="shared" si="4"/>
        <v>271.18722399920227</v>
      </c>
      <c r="J13" s="9">
        <f t="shared" si="4"/>
        <v>354.34522806107998</v>
      </c>
      <c r="K13" s="9">
        <f t="shared" si="4"/>
        <v>265.47701959311962</v>
      </c>
      <c r="L13" s="9">
        <f t="shared" si="4"/>
        <v>535.2726621866226</v>
      </c>
      <c r="M13" s="9">
        <f t="shared" si="4"/>
        <v>358.37597908973697</v>
      </c>
      <c r="N13" s="9">
        <f t="shared" si="4"/>
        <v>13.387815049337224</v>
      </c>
      <c r="O13" s="59"/>
      <c r="P13" s="67"/>
      <c r="S13" s="3">
        <v>2.7100000530481339E-2</v>
      </c>
      <c r="T13" s="3">
        <v>2.5499999523162842E-2</v>
      </c>
      <c r="U13" s="3">
        <f t="shared" si="1"/>
        <v>2.630000002682209E-2</v>
      </c>
      <c r="V13" s="3">
        <f t="shared" si="0"/>
        <v>0</v>
      </c>
      <c r="W13" s="3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6" x14ac:dyDescent="0.2">
      <c r="A14" s="2">
        <f>'VSV eGFP 171013 '!A14</f>
        <v>0</v>
      </c>
      <c r="B14" s="11">
        <f>'VSV eGFP 171013 '!B14</f>
        <v>0</v>
      </c>
      <c r="C14" s="80" t="s">
        <v>89</v>
      </c>
      <c r="D14" s="9">
        <f>D13*1</f>
        <v>12.62005501287058</v>
      </c>
      <c r="E14" s="9">
        <f>E13*30</f>
        <v>365.64569558110088</v>
      </c>
      <c r="F14" s="9">
        <f>F13*30</f>
        <v>8193.1988366693258</v>
      </c>
      <c r="G14" s="9">
        <f>G13*100</f>
        <v>25839.923026263717</v>
      </c>
      <c r="H14" s="9">
        <f>H13*100</f>
        <v>34470.024425089359</v>
      </c>
      <c r="I14" s="9">
        <f>I13*200</f>
        <v>54237.444799840458</v>
      </c>
      <c r="J14" s="9">
        <f>J13*200</f>
        <v>70869.045612215996</v>
      </c>
      <c r="K14" s="9">
        <f>K13*100</f>
        <v>26547.701959311962</v>
      </c>
      <c r="L14" s="9">
        <f t="shared" ref="L14" si="5">L13*30</f>
        <v>16058.179865598679</v>
      </c>
      <c r="M14" s="9">
        <f>M13*200</f>
        <v>71675.195817947388</v>
      </c>
      <c r="N14" s="9">
        <f>N13*30</f>
        <v>401.6344514801167</v>
      </c>
      <c r="O14" s="59"/>
      <c r="P14" s="67"/>
      <c r="AA14" t="s">
        <v>276</v>
      </c>
      <c r="AB14"/>
      <c r="AC14"/>
      <c r="AD14"/>
      <c r="AE14">
        <v>1</v>
      </c>
      <c r="AF14" t="s">
        <v>277</v>
      </c>
      <c r="AG14"/>
      <c r="AH14"/>
      <c r="AI14"/>
      <c r="AJ14"/>
      <c r="AK14"/>
      <c r="AL14"/>
      <c r="AM14"/>
      <c r="AN14"/>
    </row>
    <row r="15" spans="1:40" ht="16" x14ac:dyDescent="0.2">
      <c r="A15" s="2">
        <f>'VSV eGFP 171013 '!A15</f>
        <v>0</v>
      </c>
      <c r="B15" s="11">
        <f>'VSV eGFP 171013 '!B15</f>
        <v>0</v>
      </c>
      <c r="O15" s="59"/>
      <c r="P15" s="67"/>
      <c r="AA15" t="s">
        <v>278</v>
      </c>
      <c r="AB15"/>
      <c r="AC15"/>
      <c r="AD15"/>
      <c r="AE15">
        <v>1</v>
      </c>
      <c r="AF15" t="s">
        <v>279</v>
      </c>
      <c r="AG15"/>
      <c r="AH15"/>
      <c r="AI15"/>
      <c r="AJ15"/>
      <c r="AK15"/>
      <c r="AL15"/>
      <c r="AM15"/>
      <c r="AN15"/>
    </row>
    <row r="16" spans="1:40" ht="16" x14ac:dyDescent="0.2">
      <c r="A16" s="2">
        <f>'VSV eGFP 171013 '!A16</f>
        <v>0</v>
      </c>
      <c r="B16" s="11">
        <f>'VSV eGFP 171013 '!B16</f>
        <v>0</v>
      </c>
      <c r="C16" s="80" t="s">
        <v>19</v>
      </c>
      <c r="D16" s="9"/>
      <c r="E16" s="8">
        <v>2.5599999353289604E-2</v>
      </c>
      <c r="F16" s="8">
        <v>0.50169998407363892</v>
      </c>
      <c r="G16" s="8">
        <v>0.45260000228881836</v>
      </c>
      <c r="H16" s="8">
        <v>0.89349997043609619</v>
      </c>
      <c r="I16" s="8">
        <v>0.52819997072219849</v>
      </c>
      <c r="J16" s="8">
        <v>0.76160001754760742</v>
      </c>
      <c r="K16" s="8">
        <v>0.46549999713897705</v>
      </c>
      <c r="L16" s="8">
        <v>1.0662000179290771</v>
      </c>
      <c r="M16" s="8">
        <v>0.69650000333786011</v>
      </c>
      <c r="N16" s="8">
        <v>3.0799999833106995E-2</v>
      </c>
      <c r="O16" s="59"/>
      <c r="P16" s="67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6" x14ac:dyDescent="0.2">
      <c r="A17" s="2">
        <f>'VSV eGFP 171013 '!A17</f>
        <v>0</v>
      </c>
      <c r="B17" s="11">
        <f>'VSV eGFP 171013 '!B17</f>
        <v>0</v>
      </c>
      <c r="C17" s="80" t="s">
        <v>20</v>
      </c>
      <c r="D17" s="9"/>
      <c r="E17" s="8">
        <v>2.6000000536441803E-2</v>
      </c>
      <c r="F17" s="8">
        <v>0.49000000953674316</v>
      </c>
      <c r="G17" s="8">
        <v>0.44589999318122864</v>
      </c>
      <c r="H17" s="8">
        <v>0.84259998798370361</v>
      </c>
      <c r="I17" s="8">
        <v>0.44429999589920044</v>
      </c>
      <c r="J17" s="8">
        <v>0.72939997911453247</v>
      </c>
      <c r="K17" s="8">
        <v>0.46219998598098755</v>
      </c>
      <c r="L17" s="8">
        <v>0.98470002412796021</v>
      </c>
      <c r="M17" s="8">
        <v>0.67739999294281006</v>
      </c>
      <c r="N17" s="8">
        <v>2.759999968111515E-2</v>
      </c>
      <c r="O17" s="59"/>
      <c r="P17" s="6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16" x14ac:dyDescent="0.2">
      <c r="A18" s="2">
        <f>'VSV eGFP 171013 '!A18</f>
        <v>0</v>
      </c>
      <c r="B18" s="11">
        <f>'VSV eGFP 171013 '!B18</f>
        <v>0</v>
      </c>
      <c r="C18" s="80" t="s">
        <v>12</v>
      </c>
      <c r="D18" s="9"/>
      <c r="E18" s="77">
        <f>AVERAGE(E16:E17)</f>
        <v>2.5799999944865704E-2</v>
      </c>
      <c r="F18" s="77">
        <f t="shared" ref="F18:L18" si="6">AVERAGE(F16:F17)</f>
        <v>0.49584999680519104</v>
      </c>
      <c r="G18" s="77">
        <f t="shared" si="6"/>
        <v>0.4492499977350235</v>
      </c>
      <c r="H18" s="77">
        <f t="shared" si="6"/>
        <v>0.8680499792098999</v>
      </c>
      <c r="I18" s="77">
        <f t="shared" si="6"/>
        <v>0.48624998331069946</v>
      </c>
      <c r="J18" s="77">
        <f t="shared" si="6"/>
        <v>0.74549999833106995</v>
      </c>
      <c r="K18" s="77">
        <f t="shared" si="6"/>
        <v>0.4638499915599823</v>
      </c>
      <c r="L18" s="77">
        <f t="shared" si="6"/>
        <v>1.0254500210285187</v>
      </c>
      <c r="M18" s="77">
        <f>AVERAGE(M16:M17)</f>
        <v>0.68694999814033508</v>
      </c>
      <c r="N18" s="77">
        <f>AVERAGE(N16:N17)</f>
        <v>2.9199999757111073E-2</v>
      </c>
      <c r="O18" s="59"/>
      <c r="P18" s="67"/>
      <c r="AA18" t="s">
        <v>192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16" x14ac:dyDescent="0.2">
      <c r="A19" s="2">
        <f>'VSV eGFP 171013 '!A19</f>
        <v>0</v>
      </c>
      <c r="B19" s="11">
        <f>'VSV eGFP 171013 '!B19</f>
        <v>0</v>
      </c>
      <c r="C19" s="80" t="s">
        <v>16</v>
      </c>
      <c r="D19" s="9"/>
      <c r="E19" s="9">
        <f t="shared" ref="E19:N19" si="7">E18-$U$13</f>
        <v>-5.0000008195638657E-4</v>
      </c>
      <c r="F19" s="9">
        <f t="shared" si="7"/>
        <v>0.46954999677836895</v>
      </c>
      <c r="G19" s="9">
        <f t="shared" si="7"/>
        <v>0.42294999770820141</v>
      </c>
      <c r="H19" s="9">
        <f t="shared" si="7"/>
        <v>0.84174997918307781</v>
      </c>
      <c r="I19" s="9">
        <f t="shared" si="7"/>
        <v>0.45994998328387737</v>
      </c>
      <c r="J19" s="9">
        <f t="shared" si="7"/>
        <v>0.71919999830424786</v>
      </c>
      <c r="K19" s="9">
        <f t="shared" si="7"/>
        <v>0.43754999153316021</v>
      </c>
      <c r="L19" s="9">
        <f t="shared" si="7"/>
        <v>0.99915002100169659</v>
      </c>
      <c r="M19" s="9">
        <f t="shared" si="7"/>
        <v>0.66064999811351299</v>
      </c>
      <c r="N19" s="9">
        <f t="shared" si="7"/>
        <v>2.8999997302889824E-3</v>
      </c>
      <c r="O19" s="59"/>
      <c r="P19" s="67"/>
      <c r="AA19" t="s">
        <v>21</v>
      </c>
      <c r="AB19"/>
      <c r="AC19"/>
      <c r="AD19"/>
      <c r="AE19" t="s">
        <v>22</v>
      </c>
      <c r="AF19"/>
      <c r="AG19"/>
      <c r="AH19"/>
      <c r="AI19"/>
      <c r="AJ19"/>
      <c r="AK19"/>
      <c r="AL19"/>
      <c r="AM19"/>
      <c r="AN19"/>
    </row>
    <row r="20" spans="1:40" ht="16" x14ac:dyDescent="0.2">
      <c r="A20" s="2">
        <f>'VSV eGFP 171013 '!A20</f>
        <v>0</v>
      </c>
      <c r="B20" s="11">
        <f>'VSV eGFP 171013 '!B20</f>
        <v>0</v>
      </c>
      <c r="C20" s="80" t="s">
        <v>88</v>
      </c>
      <c r="D20" s="9">
        <f>D19*479.85</f>
        <v>0</v>
      </c>
      <c r="E20" s="9">
        <f>E18*479.85</f>
        <v>12.380129973543809</v>
      </c>
      <c r="F20" s="9">
        <f t="shared" ref="F20:N20" si="8">F18*479.85</f>
        <v>237.93362096697092</v>
      </c>
      <c r="G20" s="9">
        <f t="shared" si="8"/>
        <v>215.57261141315104</v>
      </c>
      <c r="H20" s="9">
        <f t="shared" si="8"/>
        <v>416.53378252387051</v>
      </c>
      <c r="I20" s="9">
        <f t="shared" si="8"/>
        <v>233.32705449163916</v>
      </c>
      <c r="J20" s="9">
        <f t="shared" si="8"/>
        <v>357.7281741991639</v>
      </c>
      <c r="K20" s="9">
        <f t="shared" si="8"/>
        <v>222.57841845005751</v>
      </c>
      <c r="L20" s="9">
        <f t="shared" si="8"/>
        <v>492.06219259053472</v>
      </c>
      <c r="M20" s="9">
        <f t="shared" si="8"/>
        <v>329.63295660763981</v>
      </c>
      <c r="N20" s="9">
        <f t="shared" si="8"/>
        <v>14.011619883449749</v>
      </c>
      <c r="O20" s="59"/>
      <c r="P20" s="67"/>
      <c r="AA20" t="s">
        <v>23</v>
      </c>
      <c r="AB20"/>
      <c r="AC20"/>
      <c r="AD20"/>
      <c r="AE20">
        <v>450</v>
      </c>
      <c r="AF20" t="s">
        <v>24</v>
      </c>
      <c r="AG20"/>
      <c r="AH20"/>
      <c r="AI20"/>
      <c r="AJ20"/>
      <c r="AK20"/>
      <c r="AL20"/>
      <c r="AM20"/>
      <c r="AN20"/>
    </row>
    <row r="21" spans="1:40" ht="17" thickBot="1" x14ac:dyDescent="0.25">
      <c r="A21" s="2">
        <f>'VSV eGFP 171013 '!A21</f>
        <v>0</v>
      </c>
      <c r="B21" s="11">
        <f>'VSV eGFP 171013 '!B21</f>
        <v>0</v>
      </c>
      <c r="C21" s="80" t="s">
        <v>89</v>
      </c>
      <c r="D21" s="9"/>
      <c r="E21" s="9">
        <f>E20*30</f>
        <v>371.40389920631429</v>
      </c>
      <c r="F21" s="9">
        <f>F20*30</f>
        <v>7138.0086290091276</v>
      </c>
      <c r="G21" s="9">
        <f>G20*100</f>
        <v>21557.261141315103</v>
      </c>
      <c r="H21" s="9">
        <f>H20*100</f>
        <v>41653.378252387054</v>
      </c>
      <c r="I21" s="9">
        <f>I20*200</f>
        <v>46665.410898327835</v>
      </c>
      <c r="J21" s="9">
        <f>J20*200</f>
        <v>71545.634839832783</v>
      </c>
      <c r="K21" s="9">
        <f>K20*100</f>
        <v>22257.841845005751</v>
      </c>
      <c r="L21" s="9">
        <f t="shared" ref="L21" si="9">L20*30</f>
        <v>14761.865777716042</v>
      </c>
      <c r="M21" s="9">
        <f>M20*200</f>
        <v>65926.591321527958</v>
      </c>
      <c r="N21" s="9">
        <f t="shared" ref="N21" si="10">N20*30</f>
        <v>420.34859650349244</v>
      </c>
      <c r="O21" s="59"/>
      <c r="P21" s="67"/>
      <c r="AA21" t="s">
        <v>25</v>
      </c>
      <c r="AB21"/>
      <c r="AC21"/>
      <c r="AD21"/>
      <c r="AE21">
        <v>10</v>
      </c>
      <c r="AF21" t="s">
        <v>24</v>
      </c>
      <c r="AG21"/>
      <c r="AH21"/>
      <c r="AI21"/>
      <c r="AJ21"/>
      <c r="AK21"/>
      <c r="AL21"/>
      <c r="AM21"/>
      <c r="AN21"/>
    </row>
    <row r="22" spans="1:40" ht="17" thickBot="1" x14ac:dyDescent="0.25">
      <c r="A22" s="2">
        <f>'VSV eGFP 171013 '!A22</f>
        <v>0</v>
      </c>
      <c r="B22" s="46" t="s">
        <v>93</v>
      </c>
      <c r="O22" s="86"/>
      <c r="P22" s="69"/>
      <c r="AA22" t="s">
        <v>26</v>
      </c>
      <c r="AB22"/>
      <c r="AC22"/>
      <c r="AD22"/>
      <c r="AE22">
        <v>570</v>
      </c>
      <c r="AF22" t="s">
        <v>24</v>
      </c>
      <c r="AG22"/>
      <c r="AH22"/>
      <c r="AI22"/>
      <c r="AJ22"/>
      <c r="AK22"/>
      <c r="AL22"/>
      <c r="AM22"/>
      <c r="AN22"/>
    </row>
    <row r="23" spans="1:40" ht="32" x14ac:dyDescent="0.2">
      <c r="A23" s="2" t="s">
        <v>189</v>
      </c>
      <c r="B23" s="75" t="s">
        <v>92</v>
      </c>
      <c r="C23" s="80" t="s">
        <v>78</v>
      </c>
      <c r="D23" s="9">
        <f>U13</f>
        <v>2.630000002682209E-2</v>
      </c>
      <c r="E23" s="8">
        <v>2.6399999856948853E-2</v>
      </c>
      <c r="F23" s="8">
        <v>0.8399999737739563</v>
      </c>
      <c r="G23" s="8">
        <v>0.56050002574920654</v>
      </c>
      <c r="H23" s="8">
        <v>0.89349997043609619</v>
      </c>
      <c r="I23" s="8">
        <v>0.6021999716758728</v>
      </c>
      <c r="J23" s="8">
        <v>0.74220001697540283</v>
      </c>
      <c r="K23" s="8">
        <v>0.47850000858306885</v>
      </c>
      <c r="L23" s="8">
        <v>1.2568000555038452</v>
      </c>
      <c r="M23" s="8">
        <v>0.78219997882843018</v>
      </c>
      <c r="N23" s="8">
        <v>2.9600000008940697E-2</v>
      </c>
      <c r="O23" s="59"/>
      <c r="AA23" t="s">
        <v>25</v>
      </c>
      <c r="AB23"/>
      <c r="AC23"/>
      <c r="AD23"/>
      <c r="AE23">
        <v>10</v>
      </c>
      <c r="AF23" t="s">
        <v>24</v>
      </c>
      <c r="AG23"/>
      <c r="AH23"/>
      <c r="AI23"/>
      <c r="AJ23"/>
      <c r="AK23"/>
      <c r="AL23"/>
      <c r="AM23"/>
      <c r="AN23"/>
    </row>
    <row r="24" spans="1:40" ht="16" x14ac:dyDescent="0.2">
      <c r="C24" s="80" t="s">
        <v>79</v>
      </c>
      <c r="D24" s="9"/>
      <c r="E24" s="8">
        <v>2.7699999511241913E-2</v>
      </c>
      <c r="F24" s="8">
        <v>0.79140001535415649</v>
      </c>
      <c r="G24" s="8">
        <v>0.52160000801086426</v>
      </c>
      <c r="H24" s="8">
        <v>0.84759998321533203</v>
      </c>
      <c r="I24" s="8">
        <v>0.56419998407363892</v>
      </c>
      <c r="J24" s="8">
        <v>0.69199997186660767</v>
      </c>
      <c r="K24" s="8">
        <v>0.47740000486373901</v>
      </c>
      <c r="L24" s="8">
        <v>1.2230000495910645</v>
      </c>
      <c r="M24" s="8">
        <v>0.73900002241134644</v>
      </c>
      <c r="N24" s="8">
        <v>3.5399999469518661E-2</v>
      </c>
      <c r="O24" s="59"/>
      <c r="AA24" t="s">
        <v>28</v>
      </c>
      <c r="AB24"/>
      <c r="AC24"/>
      <c r="AD24"/>
      <c r="AE24">
        <v>25</v>
      </c>
      <c r="AF24"/>
      <c r="AG24"/>
      <c r="AH24"/>
      <c r="AI24"/>
      <c r="AJ24"/>
      <c r="AK24"/>
      <c r="AL24"/>
      <c r="AM24"/>
      <c r="AN24"/>
    </row>
    <row r="25" spans="1:40" ht="16" x14ac:dyDescent="0.2">
      <c r="A25" s="2">
        <f>'VSV eGFP 171013 '!A25</f>
        <v>0</v>
      </c>
      <c r="B25" s="11">
        <f>'VSV eGFP 171013 '!B25</f>
        <v>0</v>
      </c>
      <c r="C25" s="80" t="s">
        <v>12</v>
      </c>
      <c r="D25" s="77">
        <f>AVERAGE(D23:D24)</f>
        <v>2.630000002682209E-2</v>
      </c>
      <c r="E25" s="77">
        <f>AVERAGE(E23:E24)</f>
        <v>2.7049999684095383E-2</v>
      </c>
      <c r="F25" s="77">
        <f t="shared" ref="F25:L25" si="11">AVERAGE(F23:F24)</f>
        <v>0.8156999945640564</v>
      </c>
      <c r="G25" s="77">
        <f t="shared" si="11"/>
        <v>0.5410500168800354</v>
      </c>
      <c r="H25" s="77">
        <f t="shared" si="11"/>
        <v>0.87054997682571411</v>
      </c>
      <c r="I25" s="77">
        <f t="shared" si="11"/>
        <v>0.58319997787475586</v>
      </c>
      <c r="J25" s="77">
        <f t="shared" si="11"/>
        <v>0.71709999442100525</v>
      </c>
      <c r="K25" s="77">
        <f t="shared" si="11"/>
        <v>0.47795000672340393</v>
      </c>
      <c r="L25" s="77">
        <f t="shared" si="11"/>
        <v>1.2399000525474548</v>
      </c>
      <c r="M25" s="77">
        <f>AVERAGE(M23:M24)</f>
        <v>0.76060000061988831</v>
      </c>
      <c r="N25" s="77">
        <f>AVERAGE(N23:N24)</f>
        <v>3.2499999739229679E-2</v>
      </c>
      <c r="O25" s="59"/>
      <c r="AA25" t="s">
        <v>30</v>
      </c>
      <c r="AB25"/>
      <c r="AC25"/>
      <c r="AD25"/>
      <c r="AE25">
        <v>0</v>
      </c>
      <c r="AF25" t="s">
        <v>31</v>
      </c>
      <c r="AG25"/>
      <c r="AH25"/>
      <c r="AI25"/>
      <c r="AJ25"/>
      <c r="AK25"/>
      <c r="AL25"/>
      <c r="AM25"/>
      <c r="AN25"/>
    </row>
    <row r="26" spans="1:40" ht="17" thickBot="1" x14ac:dyDescent="0.25">
      <c r="A26" s="2">
        <f>'VSV eGFP 171013 '!A26</f>
        <v>0</v>
      </c>
      <c r="B26" s="11">
        <f>'VSV eGFP 171013 '!B26</f>
        <v>0</v>
      </c>
      <c r="C26" s="80" t="s">
        <v>16</v>
      </c>
      <c r="D26" s="9"/>
      <c r="E26" s="9">
        <f t="shared" ref="E26:N26" si="12">E25-$U$13</f>
        <v>7.4999965727329254E-4</v>
      </c>
      <c r="F26" s="9">
        <f t="shared" si="12"/>
        <v>0.78939999453723431</v>
      </c>
      <c r="G26" s="9">
        <f t="shared" si="12"/>
        <v>0.51475001685321331</v>
      </c>
      <c r="H26" s="9">
        <f t="shared" si="12"/>
        <v>0.84424997679889202</v>
      </c>
      <c r="I26" s="9">
        <f t="shared" si="12"/>
        <v>0.55689997784793377</v>
      </c>
      <c r="J26" s="9">
        <f t="shared" si="12"/>
        <v>0.69079999439418316</v>
      </c>
      <c r="K26" s="9">
        <f t="shared" si="12"/>
        <v>0.45165000669658184</v>
      </c>
      <c r="L26" s="9">
        <f t="shared" si="12"/>
        <v>1.2136000525206327</v>
      </c>
      <c r="M26" s="9">
        <f t="shared" si="12"/>
        <v>0.73430000059306622</v>
      </c>
      <c r="N26" s="9">
        <f t="shared" si="12"/>
        <v>6.199999712407589E-3</v>
      </c>
      <c r="O26" s="59"/>
      <c r="AA26" t="s">
        <v>32</v>
      </c>
      <c r="AB26" s="95">
        <v>43167.628136574072</v>
      </c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6" x14ac:dyDescent="0.2">
      <c r="A27" s="2">
        <f>'VSV eGFP 171013 '!A27</f>
        <v>0</v>
      </c>
      <c r="B27" s="11">
        <f>'VSV eGFP 171013 '!B27</f>
        <v>0</v>
      </c>
      <c r="C27" s="80" t="s">
        <v>88</v>
      </c>
      <c r="D27" s="9">
        <f>D25*479.85</f>
        <v>12.62005501287058</v>
      </c>
      <c r="E27" s="9">
        <f t="shared" ref="E27:N27" si="13">E25*479.85</f>
        <v>12.97994234841317</v>
      </c>
      <c r="F27" s="9">
        <f t="shared" si="13"/>
        <v>391.41364239156246</v>
      </c>
      <c r="G27" s="9">
        <f t="shared" si="13"/>
        <v>259.622850599885</v>
      </c>
      <c r="H27" s="9">
        <f t="shared" si="13"/>
        <v>417.73340637981892</v>
      </c>
      <c r="I27" s="9">
        <f t="shared" si="13"/>
        <v>279.84850938320159</v>
      </c>
      <c r="J27" s="9">
        <f t="shared" si="13"/>
        <v>344.1004323229194</v>
      </c>
      <c r="K27" s="9">
        <f t="shared" si="13"/>
        <v>229.34431072622539</v>
      </c>
      <c r="L27" s="9">
        <f t="shared" si="13"/>
        <v>594.96604021489622</v>
      </c>
      <c r="M27" s="9">
        <f t="shared" si="13"/>
        <v>364.97391029745341</v>
      </c>
      <c r="N27" s="9">
        <f t="shared" si="13"/>
        <v>15.595124874869363</v>
      </c>
      <c r="O27" s="84"/>
      <c r="P27" s="85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6" x14ac:dyDescent="0.2">
      <c r="A28" s="2">
        <f>'VSV eGFP 171013 '!A28</f>
        <v>0</v>
      </c>
      <c r="B28" s="11">
        <f>'VSV eGFP 171013 '!B28</f>
        <v>0</v>
      </c>
      <c r="C28" s="80" t="s">
        <v>89</v>
      </c>
      <c r="D28" s="9">
        <f>D27*1</f>
        <v>12.62005501287058</v>
      </c>
      <c r="E28" s="9">
        <f>E27*30</f>
        <v>389.39827045239508</v>
      </c>
      <c r="F28" s="9">
        <f>F27*30</f>
        <v>11742.409271746874</v>
      </c>
      <c r="G28" s="9">
        <f>G27*100</f>
        <v>25962.285059988499</v>
      </c>
      <c r="H28" s="9">
        <f>H27*100</f>
        <v>41773.340637981892</v>
      </c>
      <c r="I28" s="9">
        <f>I27*200</f>
        <v>55969.70187664032</v>
      </c>
      <c r="J28" s="9">
        <f>J27*200</f>
        <v>68820.086464583874</v>
      </c>
      <c r="K28" s="9">
        <f>K27*100</f>
        <v>22934.431072622538</v>
      </c>
      <c r="L28" s="9">
        <f t="shared" ref="L28" si="14">L27*30</f>
        <v>17848.981206446886</v>
      </c>
      <c r="M28" s="9">
        <f>M27*200</f>
        <v>72994.782059490681</v>
      </c>
      <c r="N28" s="9">
        <f t="shared" ref="N28" si="15">N27*30</f>
        <v>467.8537462460809</v>
      </c>
      <c r="O28" s="59"/>
      <c r="P28" s="67"/>
      <c r="AA28"/>
      <c r="AB28" t="s">
        <v>283</v>
      </c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6" x14ac:dyDescent="0.2">
      <c r="A29" s="2">
        <f>'VSV eGFP 171013 '!A29</f>
        <v>0</v>
      </c>
      <c r="B29" s="11">
        <f>'VSV eGFP 171013 '!B29</f>
        <v>0</v>
      </c>
      <c r="O29" s="59"/>
      <c r="P29" s="67"/>
      <c r="AA29" t="s">
        <v>35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6" x14ac:dyDescent="0.2">
      <c r="A30" s="2">
        <f>'VSV eGFP 171013 '!A30</f>
        <v>0</v>
      </c>
      <c r="B30" s="11">
        <f>'VSV eGFP 171013 '!B30</f>
        <v>0</v>
      </c>
      <c r="C30" s="80" t="s">
        <v>19</v>
      </c>
      <c r="D30" s="9"/>
      <c r="E30" s="8">
        <v>3.1199999153614044E-2</v>
      </c>
      <c r="F30" s="8">
        <v>0.81559997797012329</v>
      </c>
      <c r="G30" s="8">
        <v>0.61629998683929443</v>
      </c>
      <c r="H30" s="8">
        <v>0.84939998388290405</v>
      </c>
      <c r="I30" s="8">
        <v>0.58259999752044678</v>
      </c>
      <c r="J30" s="8">
        <v>0.69230002164840698</v>
      </c>
      <c r="K30" s="8">
        <v>0.52460002899169922</v>
      </c>
      <c r="L30" s="8">
        <v>1.4063999652862549</v>
      </c>
      <c r="M30" s="8">
        <v>0.7103000283241272</v>
      </c>
      <c r="N30" s="8">
        <v>3.2099999487400055E-2</v>
      </c>
      <c r="O30" s="59"/>
      <c r="P30" s="67"/>
      <c r="AA30" t="s">
        <v>37</v>
      </c>
      <c r="AB30">
        <v>1</v>
      </c>
      <c r="AC30">
        <v>2</v>
      </c>
      <c r="AD30">
        <v>3</v>
      </c>
      <c r="AE30">
        <v>4</v>
      </c>
      <c r="AF30">
        <v>5</v>
      </c>
      <c r="AG30">
        <v>6</v>
      </c>
      <c r="AH30">
        <v>7</v>
      </c>
      <c r="AI30">
        <v>8</v>
      </c>
      <c r="AJ30">
        <v>9</v>
      </c>
      <c r="AK30">
        <v>10</v>
      </c>
      <c r="AL30">
        <v>11</v>
      </c>
      <c r="AM30">
        <v>12</v>
      </c>
      <c r="AN30"/>
    </row>
    <row r="31" spans="1:40" ht="16" x14ac:dyDescent="0.2">
      <c r="A31" s="2">
        <f>'VSV eGFP 171013 '!A31</f>
        <v>0</v>
      </c>
      <c r="B31" s="11">
        <f>'VSV eGFP 171013 '!B31</f>
        <v>0</v>
      </c>
      <c r="C31" s="80" t="s">
        <v>20</v>
      </c>
      <c r="D31" s="9"/>
      <c r="E31" s="8">
        <v>3.5399999469518661E-2</v>
      </c>
      <c r="F31" s="8">
        <v>0.76080000400543213</v>
      </c>
      <c r="G31" s="8">
        <v>0.56950002908706665</v>
      </c>
      <c r="H31" s="8">
        <v>0.77670001983642578</v>
      </c>
      <c r="I31" s="8">
        <v>0.55659997463226318</v>
      </c>
      <c r="J31" s="8">
        <v>0.67869997024536133</v>
      </c>
      <c r="K31" s="8">
        <v>0.48410001397132874</v>
      </c>
      <c r="L31" s="8">
        <v>1.2868000268936157</v>
      </c>
      <c r="M31" s="8">
        <v>0.68809998035430908</v>
      </c>
      <c r="N31" s="8">
        <v>3.2999999821186066E-2</v>
      </c>
      <c r="O31" s="59"/>
      <c r="P31" s="67"/>
      <c r="AA31" t="s">
        <v>39</v>
      </c>
      <c r="AB31">
        <v>6.4899999999999999E-2</v>
      </c>
      <c r="AC31">
        <v>0.59689999999999999</v>
      </c>
      <c r="AD31">
        <v>0.59630000000000005</v>
      </c>
      <c r="AE31">
        <v>0.75929999999999997</v>
      </c>
      <c r="AF31">
        <v>0.63660000000000005</v>
      </c>
      <c r="AG31">
        <v>0.79190000000000005</v>
      </c>
      <c r="AH31">
        <v>6.8099999999999994E-2</v>
      </c>
      <c r="AI31">
        <v>0.78959999999999997</v>
      </c>
      <c r="AJ31">
        <v>0.6018</v>
      </c>
      <c r="AK31">
        <v>1.1862999999999999</v>
      </c>
      <c r="AL31">
        <v>2.1918000000000002</v>
      </c>
      <c r="AM31">
        <v>2.2517999999999998</v>
      </c>
      <c r="AN31"/>
    </row>
    <row r="32" spans="1:40" ht="16" x14ac:dyDescent="0.2">
      <c r="A32" s="2">
        <f>'VSV eGFP 171013 '!A32</f>
        <v>0</v>
      </c>
      <c r="B32" s="11">
        <f>'VSV eGFP 171013 '!B32</f>
        <v>0</v>
      </c>
      <c r="C32" s="80" t="s">
        <v>12</v>
      </c>
      <c r="D32" s="9"/>
      <c r="E32" s="77">
        <f>AVERAGE(E30:E31)</f>
        <v>3.3299999311566353E-2</v>
      </c>
      <c r="F32" s="77">
        <f t="shared" ref="F32:L32" si="16">AVERAGE(F30:F31)</f>
        <v>0.78819999098777771</v>
      </c>
      <c r="G32" s="77">
        <f t="shared" si="16"/>
        <v>0.59290000796318054</v>
      </c>
      <c r="H32" s="77">
        <f t="shared" si="16"/>
        <v>0.81305000185966492</v>
      </c>
      <c r="I32" s="77">
        <f t="shared" si="16"/>
        <v>0.56959998607635498</v>
      </c>
      <c r="J32" s="77">
        <f t="shared" si="16"/>
        <v>0.68549999594688416</v>
      </c>
      <c r="K32" s="77">
        <f t="shared" si="16"/>
        <v>0.50435002148151398</v>
      </c>
      <c r="L32" s="77">
        <f t="shared" si="16"/>
        <v>1.3465999960899353</v>
      </c>
      <c r="M32" s="77">
        <f>AVERAGE(M30:M31)</f>
        <v>0.69920000433921814</v>
      </c>
      <c r="N32" s="77">
        <f>AVERAGE(N30:N31)</f>
        <v>3.254999965429306E-2</v>
      </c>
      <c r="O32" s="59"/>
      <c r="P32" s="67"/>
      <c r="AA32" t="s">
        <v>40</v>
      </c>
      <c r="AB32">
        <v>6.3299999999999995E-2</v>
      </c>
      <c r="AC32">
        <v>0.62190000000000001</v>
      </c>
      <c r="AD32">
        <v>0.56030000000000002</v>
      </c>
      <c r="AE32">
        <v>0.75819999999999999</v>
      </c>
      <c r="AF32">
        <v>0.57410000000000005</v>
      </c>
      <c r="AG32">
        <v>0.76619999999999999</v>
      </c>
      <c r="AH32">
        <v>6.54E-2</v>
      </c>
      <c r="AI32">
        <v>0.78559999999999997</v>
      </c>
      <c r="AJ32">
        <v>0.58489999999999998</v>
      </c>
      <c r="AK32">
        <v>1.1299999999999999</v>
      </c>
      <c r="AL32">
        <v>0.99650000000000005</v>
      </c>
      <c r="AM32">
        <v>1.0523</v>
      </c>
      <c r="AN32"/>
    </row>
    <row r="33" spans="1:40" ht="16" x14ac:dyDescent="0.2">
      <c r="A33" s="2">
        <f>'VSV eGFP 171013 '!A33</f>
        <v>0</v>
      </c>
      <c r="B33" s="11">
        <f>'VSV eGFP 171013 '!B33</f>
        <v>0</v>
      </c>
      <c r="C33" s="80" t="s">
        <v>16</v>
      </c>
      <c r="D33" s="9"/>
      <c r="E33" s="9">
        <f t="shared" ref="E33:N33" si="17">E32-$U$13</f>
        <v>6.9999992847442627E-3</v>
      </c>
      <c r="F33" s="9">
        <f t="shared" si="17"/>
        <v>0.76189999096095562</v>
      </c>
      <c r="G33" s="9">
        <f t="shared" si="17"/>
        <v>0.56660000793635845</v>
      </c>
      <c r="H33" s="9">
        <f t="shared" si="17"/>
        <v>0.78675000183284283</v>
      </c>
      <c r="I33" s="9">
        <f t="shared" si="17"/>
        <v>0.54329998604953289</v>
      </c>
      <c r="J33" s="9">
        <f t="shared" si="17"/>
        <v>0.65919999592006207</v>
      </c>
      <c r="K33" s="9">
        <f t="shared" si="17"/>
        <v>0.47805002145469189</v>
      </c>
      <c r="L33" s="9">
        <f t="shared" si="17"/>
        <v>1.3202999960631132</v>
      </c>
      <c r="M33" s="9">
        <f t="shared" si="17"/>
        <v>0.67290000431239605</v>
      </c>
      <c r="N33" s="9">
        <f t="shared" si="17"/>
        <v>6.2499996274709702E-3</v>
      </c>
      <c r="O33" s="59"/>
      <c r="P33" s="67"/>
      <c r="AA33" t="s">
        <v>41</v>
      </c>
      <c r="AB33">
        <v>6.4500000000000002E-2</v>
      </c>
      <c r="AC33">
        <v>0.5413</v>
      </c>
      <c r="AD33">
        <v>0.49259999999999998</v>
      </c>
      <c r="AE33">
        <v>0.93540000000000001</v>
      </c>
      <c r="AF33">
        <v>0.56740000000000002</v>
      </c>
      <c r="AG33">
        <v>0.80189999999999995</v>
      </c>
      <c r="AH33">
        <v>6.88E-2</v>
      </c>
      <c r="AI33">
        <v>0.73640000000000005</v>
      </c>
      <c r="AJ33">
        <v>0.50460000000000005</v>
      </c>
      <c r="AK33">
        <v>1.1071</v>
      </c>
      <c r="AL33">
        <v>0.50849999999999995</v>
      </c>
      <c r="AM33">
        <v>0.5222</v>
      </c>
      <c r="AN33"/>
    </row>
    <row r="34" spans="1:40" ht="16" x14ac:dyDescent="0.2">
      <c r="A34" s="2">
        <f>'VSV eGFP 171013 '!A34</f>
        <v>0</v>
      </c>
      <c r="B34" s="11">
        <f>'VSV eGFP 171013 '!B34</f>
        <v>0</v>
      </c>
      <c r="C34" s="80" t="s">
        <v>88</v>
      </c>
      <c r="D34" s="9"/>
      <c r="E34" s="9">
        <f>E33*479.85</f>
        <v>3.3589496567845347</v>
      </c>
      <c r="F34" s="9">
        <f>F33*479.85</f>
        <v>365.59771066261459</v>
      </c>
      <c r="G34" s="9">
        <f t="shared" ref="G34:L34" si="18">G33*479.85</f>
        <v>271.88301380826164</v>
      </c>
      <c r="H34" s="9">
        <f t="shared" si="18"/>
        <v>377.52198837948964</v>
      </c>
      <c r="I34" s="9">
        <f t="shared" si="18"/>
        <v>260.70249830586835</v>
      </c>
      <c r="J34" s="9">
        <f t="shared" si="18"/>
        <v>316.31711804224182</v>
      </c>
      <c r="K34" s="9">
        <f t="shared" si="18"/>
        <v>229.39230279503391</v>
      </c>
      <c r="L34" s="9">
        <f t="shared" si="18"/>
        <v>633.54595311088485</v>
      </c>
      <c r="M34" s="9">
        <f>M33*479.85</f>
        <v>322.89106706930323</v>
      </c>
      <c r="N34" s="9">
        <f>N33*479.85</f>
        <v>2.9990623212419454</v>
      </c>
      <c r="O34" s="59"/>
      <c r="P34" s="67"/>
      <c r="AA34" t="s">
        <v>42</v>
      </c>
      <c r="AB34">
        <v>6.5699999999999995E-2</v>
      </c>
      <c r="AC34">
        <v>0.5302</v>
      </c>
      <c r="AD34">
        <v>0.48459999999999998</v>
      </c>
      <c r="AE34">
        <v>0.88200000000000001</v>
      </c>
      <c r="AF34">
        <v>0.4829</v>
      </c>
      <c r="AG34">
        <v>0.76939999999999997</v>
      </c>
      <c r="AH34">
        <v>6.5199999999999994E-2</v>
      </c>
      <c r="AI34">
        <v>0.71650000000000003</v>
      </c>
      <c r="AJ34">
        <v>0.50019999999999998</v>
      </c>
      <c r="AK34">
        <v>1.0242</v>
      </c>
      <c r="AL34">
        <v>0.27339999999999998</v>
      </c>
      <c r="AM34">
        <v>0.2868</v>
      </c>
      <c r="AN34"/>
    </row>
    <row r="35" spans="1:40" ht="16" x14ac:dyDescent="0.2">
      <c r="A35" s="2">
        <f>'VSV eGFP 171013 '!A35</f>
        <v>0</v>
      </c>
      <c r="B35" s="11">
        <f>'VSV eGFP 171013 '!B35</f>
        <v>0</v>
      </c>
      <c r="C35" s="80" t="s">
        <v>89</v>
      </c>
      <c r="D35" s="9"/>
      <c r="E35" s="56">
        <f>E34*30</f>
        <v>100.76848970353605</v>
      </c>
      <c r="F35" s="56">
        <f>F34*30</f>
        <v>10967.931319878438</v>
      </c>
      <c r="G35" s="56">
        <f>G34*100</f>
        <v>27188.301380826164</v>
      </c>
      <c r="H35" s="56">
        <f>H34*100</f>
        <v>37752.198837948963</v>
      </c>
      <c r="I35" s="56">
        <f>I34*200</f>
        <v>52140.499661173671</v>
      </c>
      <c r="J35" s="56">
        <f>J34*200</f>
        <v>63263.423608448364</v>
      </c>
      <c r="K35" s="56">
        <f>K34*100</f>
        <v>22939.23027950339</v>
      </c>
      <c r="L35" s="56">
        <f t="shared" ref="L35" si="19">L34*30</f>
        <v>19006.378593326546</v>
      </c>
      <c r="M35" s="56">
        <f>M34*200</f>
        <v>64578.213413860649</v>
      </c>
      <c r="N35" s="56">
        <f t="shared" ref="N35" si="20">N34*30</f>
        <v>89.971869637258365</v>
      </c>
      <c r="O35" s="59"/>
      <c r="P35" s="67"/>
      <c r="AA35" t="s">
        <v>43</v>
      </c>
      <c r="AB35">
        <v>6.83E-2</v>
      </c>
      <c r="AC35">
        <v>0.88</v>
      </c>
      <c r="AD35">
        <v>0.59909999999999997</v>
      </c>
      <c r="AE35">
        <v>0.93310000000000004</v>
      </c>
      <c r="AF35">
        <v>0.6411</v>
      </c>
      <c r="AG35">
        <v>0.78200000000000003</v>
      </c>
      <c r="AH35">
        <v>6.6699999999999995E-2</v>
      </c>
      <c r="AI35">
        <v>0.82250000000000001</v>
      </c>
      <c r="AJ35">
        <v>0.51649999999999996</v>
      </c>
      <c r="AK35">
        <v>1.2979000000000001</v>
      </c>
      <c r="AL35">
        <v>0.16600000000000001</v>
      </c>
      <c r="AM35">
        <v>0.1656</v>
      </c>
      <c r="AN35"/>
    </row>
    <row r="36" spans="1:40" ht="16" x14ac:dyDescent="0.2">
      <c r="A36" s="2">
        <f>'VSV eGFP 171013 '!A36</f>
        <v>0</v>
      </c>
      <c r="B36" s="11">
        <f>'VSV eGFP 171013 '!B36</f>
        <v>0</v>
      </c>
      <c r="O36" s="59"/>
      <c r="P36" s="67"/>
      <c r="AA36" t="s">
        <v>44</v>
      </c>
      <c r="AB36">
        <v>6.5699999999999995E-2</v>
      </c>
      <c r="AC36">
        <v>0.83209999999999995</v>
      </c>
      <c r="AD36">
        <v>0.56040000000000001</v>
      </c>
      <c r="AE36">
        <v>0.88749999999999996</v>
      </c>
      <c r="AF36">
        <v>0.60350000000000004</v>
      </c>
      <c r="AG36">
        <v>0.73219999999999996</v>
      </c>
      <c r="AH36">
        <v>7.2999999999999995E-2</v>
      </c>
      <c r="AI36">
        <v>0.77910000000000001</v>
      </c>
      <c r="AJ36">
        <v>0.51629999999999998</v>
      </c>
      <c r="AK36">
        <v>1.2692000000000001</v>
      </c>
      <c r="AL36">
        <v>0.1163</v>
      </c>
      <c r="AM36">
        <v>0.1154</v>
      </c>
      <c r="AN36"/>
    </row>
    <row r="37" spans="1:40" ht="16" x14ac:dyDescent="0.2">
      <c r="A37" s="2" t="str">
        <f>'VSV eGFP 171013 '!A37</f>
        <v>SUMMARY</v>
      </c>
      <c r="B37" s="11">
        <f>'VSV eGFP 171013 '!B37</f>
        <v>0</v>
      </c>
      <c r="C37" s="9">
        <f>'VSV eGFP 171013 '!C37</f>
        <v>0</v>
      </c>
      <c r="D37" s="83"/>
      <c r="E37" s="9"/>
      <c r="F37" s="9"/>
      <c r="G37" s="9"/>
      <c r="H37" s="9"/>
      <c r="I37" s="9"/>
      <c r="J37" s="9"/>
      <c r="K37" s="9"/>
      <c r="L37" s="9"/>
      <c r="M37" s="9"/>
      <c r="N37" s="9"/>
      <c r="O37" s="59"/>
      <c r="P37" s="67"/>
      <c r="AA37" t="s">
        <v>45</v>
      </c>
      <c r="AB37">
        <v>7.0499999999999993E-2</v>
      </c>
      <c r="AC37">
        <v>0.85619999999999996</v>
      </c>
      <c r="AD37">
        <v>0.65590000000000004</v>
      </c>
      <c r="AE37">
        <v>0.89249999999999996</v>
      </c>
      <c r="AF37">
        <v>0.62470000000000003</v>
      </c>
      <c r="AG37">
        <v>0.73240000000000005</v>
      </c>
      <c r="AH37">
        <v>7.0000000000000007E-2</v>
      </c>
      <c r="AI37">
        <v>0.75019999999999998</v>
      </c>
      <c r="AJ37">
        <v>0.56430000000000002</v>
      </c>
      <c r="AK37">
        <v>1.4491000000000001</v>
      </c>
      <c r="AL37">
        <v>8.9899999999999994E-2</v>
      </c>
      <c r="AM37">
        <v>8.9099999999999999E-2</v>
      </c>
      <c r="AN37"/>
    </row>
    <row r="38" spans="1:40" ht="16" x14ac:dyDescent="0.2">
      <c r="A38" s="2">
        <f>'VSV eGFP 171013 '!A38</f>
        <v>0</v>
      </c>
      <c r="B38" s="11">
        <f>'VSV eGFP 171013 '!B38</f>
        <v>0</v>
      </c>
      <c r="C38" s="9">
        <f>'VSV eGFP 171013 '!C38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59"/>
      <c r="P38" s="67"/>
      <c r="AA38" t="s">
        <v>46</v>
      </c>
      <c r="AB38">
        <v>7.3300000000000004E-2</v>
      </c>
      <c r="AC38">
        <v>0.8014</v>
      </c>
      <c r="AD38">
        <v>0.61029999999999995</v>
      </c>
      <c r="AE38">
        <v>0.81710000000000005</v>
      </c>
      <c r="AF38">
        <v>0.59719999999999995</v>
      </c>
      <c r="AG38">
        <v>0.71850000000000003</v>
      </c>
      <c r="AH38">
        <v>7.1400000000000005E-2</v>
      </c>
      <c r="AI38">
        <v>0.72809999999999997</v>
      </c>
      <c r="AJ38">
        <v>0.52429999999999999</v>
      </c>
      <c r="AK38">
        <v>1.3303</v>
      </c>
      <c r="AL38">
        <v>6.5299999999999997E-2</v>
      </c>
      <c r="AM38">
        <v>6.6900000000000001E-2</v>
      </c>
      <c r="AN38"/>
    </row>
    <row r="39" spans="1:40" ht="32" x14ac:dyDescent="0.2">
      <c r="A39" s="2" t="str">
        <f>'VSV eGFP 171013 '!A39</f>
        <v>rearranged and -*1.1 for NP40 (removal from PC3 prior to ELISA)</v>
      </c>
      <c r="B39" s="11">
        <f>'VSV eGFP 171013 '!B39</f>
        <v>0</v>
      </c>
      <c r="C39" s="81" t="s">
        <v>90</v>
      </c>
      <c r="D39" s="56">
        <f>D14*30</f>
        <v>378.6016503861174</v>
      </c>
      <c r="E39" s="56">
        <f t="shared" ref="E39:N39" si="21">E14*1.1</f>
        <v>402.210265139211</v>
      </c>
      <c r="F39" s="56">
        <f t="shared" si="21"/>
        <v>9012.5187203362584</v>
      </c>
      <c r="G39" s="56">
        <f t="shared" si="21"/>
        <v>28423.915328890092</v>
      </c>
      <c r="H39" s="56">
        <f t="shared" si="21"/>
        <v>37917.026867598295</v>
      </c>
      <c r="I39" s="56">
        <f t="shared" si="21"/>
        <v>59661.18927982451</v>
      </c>
      <c r="J39" s="56">
        <f t="shared" si="21"/>
        <v>77955.950173437595</v>
      </c>
      <c r="K39" s="56">
        <f t="shared" si="21"/>
        <v>29202.472155243162</v>
      </c>
      <c r="L39" s="56">
        <f t="shared" si="21"/>
        <v>17663.997852158547</v>
      </c>
      <c r="M39" s="56">
        <f t="shared" si="21"/>
        <v>78842.715399742126</v>
      </c>
      <c r="N39" s="56">
        <f t="shared" si="21"/>
        <v>441.7978966281284</v>
      </c>
      <c r="P39" s="67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7" thickBot="1" x14ac:dyDescent="0.25">
      <c r="A40" s="2">
        <f>'VSV eGFP 171013 '!A40</f>
        <v>0</v>
      </c>
      <c r="B40" s="11">
        <f>'VSV eGFP 171013 '!B40</f>
        <v>0</v>
      </c>
      <c r="C40" s="82" t="s">
        <v>90</v>
      </c>
      <c r="D40" s="9"/>
      <c r="E40" s="78">
        <f t="shared" ref="E40:N40" si="22">E21*1.1</f>
        <v>408.54428912694573</v>
      </c>
      <c r="F40" s="78">
        <f t="shared" si="22"/>
        <v>7851.8094919100413</v>
      </c>
      <c r="G40" s="78">
        <f t="shared" si="22"/>
        <v>23712.987255446616</v>
      </c>
      <c r="H40" s="78">
        <f t="shared" si="22"/>
        <v>45818.716077625766</v>
      </c>
      <c r="I40" s="78">
        <f t="shared" si="22"/>
        <v>51331.951988160625</v>
      </c>
      <c r="J40" s="78">
        <f t="shared" si="22"/>
        <v>78700.198323816061</v>
      </c>
      <c r="K40" s="78">
        <f t="shared" si="22"/>
        <v>24483.626029506329</v>
      </c>
      <c r="L40" s="78">
        <f t="shared" si="22"/>
        <v>16238.052355487647</v>
      </c>
      <c r="M40" s="78">
        <f t="shared" si="22"/>
        <v>72519.250453680754</v>
      </c>
      <c r="N40" s="78">
        <f t="shared" si="22"/>
        <v>462.38345615384173</v>
      </c>
      <c r="P40" s="67"/>
      <c r="AA40" t="s">
        <v>47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6" x14ac:dyDescent="0.2">
      <c r="A41" s="2">
        <f>'VSV eGFP 171013 '!A41</f>
        <v>0</v>
      </c>
      <c r="B41" s="11">
        <f>'VSV eGFP 171013 '!B41</f>
        <v>0</v>
      </c>
      <c r="C41" s="26" t="s">
        <v>91</v>
      </c>
      <c r="E41" s="26">
        <f>AVERAGE(E40,E39)</f>
        <v>405.37727713307834</v>
      </c>
      <c r="F41" s="26">
        <f t="shared" ref="F41:N41" si="23">AVERAGE(F40,F39)</f>
        <v>8432.1641061231494</v>
      </c>
      <c r="G41" s="26">
        <f t="shared" si="23"/>
        <v>26068.451292168356</v>
      </c>
      <c r="H41" s="26">
        <f t="shared" si="23"/>
        <v>41867.871472612031</v>
      </c>
      <c r="I41" s="26">
        <f t="shared" si="23"/>
        <v>55496.570633992567</v>
      </c>
      <c r="J41" s="26">
        <f t="shared" si="23"/>
        <v>78328.074248626828</v>
      </c>
      <c r="K41" s="26">
        <f t="shared" si="23"/>
        <v>26843.049092374746</v>
      </c>
      <c r="L41" s="26">
        <f t="shared" si="23"/>
        <v>16951.025103823096</v>
      </c>
      <c r="M41" s="26">
        <f t="shared" si="23"/>
        <v>75680.98292671144</v>
      </c>
      <c r="N41" s="26">
        <f t="shared" si="23"/>
        <v>452.0906763909851</v>
      </c>
      <c r="P41" s="67"/>
      <c r="AA41" t="s">
        <v>37</v>
      </c>
      <c r="AB41">
        <v>1</v>
      </c>
      <c r="AC41">
        <v>2</v>
      </c>
      <c r="AD41">
        <v>3</v>
      </c>
      <c r="AE41">
        <v>4</v>
      </c>
      <c r="AF41">
        <v>5</v>
      </c>
      <c r="AG41">
        <v>6</v>
      </c>
      <c r="AH41">
        <v>7</v>
      </c>
      <c r="AI41">
        <v>8</v>
      </c>
      <c r="AJ41">
        <v>9</v>
      </c>
      <c r="AK41">
        <v>10</v>
      </c>
      <c r="AL41">
        <v>11</v>
      </c>
      <c r="AM41">
        <v>12</v>
      </c>
      <c r="AN41"/>
    </row>
    <row r="42" spans="1:40" ht="16" x14ac:dyDescent="0.2">
      <c r="A42" s="2">
        <f>'VSV eGFP 171013 '!A42</f>
        <v>0</v>
      </c>
      <c r="B42" s="11">
        <f>'VSV eGFP 171013 '!B42</f>
        <v>0</v>
      </c>
      <c r="C42" s="81" t="s">
        <v>90</v>
      </c>
      <c r="D42" s="9"/>
      <c r="E42" s="56">
        <f t="shared" ref="E42:N42" si="24">E28*1.1</f>
        <v>428.33809749763464</v>
      </c>
      <c r="F42" s="56">
        <f t="shared" si="24"/>
        <v>12916.650198921563</v>
      </c>
      <c r="G42" s="56">
        <f t="shared" si="24"/>
        <v>28558.513565987352</v>
      </c>
      <c r="H42" s="56">
        <f t="shared" si="24"/>
        <v>45950.674701780088</v>
      </c>
      <c r="I42" s="56">
        <f t="shared" si="24"/>
        <v>61566.672064304359</v>
      </c>
      <c r="J42" s="56">
        <f t="shared" si="24"/>
        <v>75702.095111042261</v>
      </c>
      <c r="K42" s="56">
        <f t="shared" si="24"/>
        <v>25227.874179884795</v>
      </c>
      <c r="L42" s="56">
        <f t="shared" si="24"/>
        <v>19633.879327091578</v>
      </c>
      <c r="M42" s="56">
        <f t="shared" si="24"/>
        <v>80294.260265439749</v>
      </c>
      <c r="N42" s="56">
        <f t="shared" si="24"/>
        <v>514.639120870689</v>
      </c>
      <c r="P42" s="67"/>
      <c r="AA42" t="s">
        <v>39</v>
      </c>
      <c r="AB42">
        <v>3.9300000000000002E-2</v>
      </c>
      <c r="AC42">
        <v>4.0500000000000001E-2</v>
      </c>
      <c r="AD42">
        <v>4.02E-2</v>
      </c>
      <c r="AE42">
        <v>4.0599999999999997E-2</v>
      </c>
      <c r="AF42">
        <v>4.0500000000000001E-2</v>
      </c>
      <c r="AG42">
        <v>4.0800000000000003E-2</v>
      </c>
      <c r="AH42">
        <v>3.8899999999999997E-2</v>
      </c>
      <c r="AI42">
        <v>4.0800000000000003E-2</v>
      </c>
      <c r="AJ42">
        <v>3.9600000000000003E-2</v>
      </c>
      <c r="AK42">
        <v>4.2700000000000002E-2</v>
      </c>
      <c r="AL42">
        <v>4.65E-2</v>
      </c>
      <c r="AM42">
        <v>5.3699999999999998E-2</v>
      </c>
      <c r="AN42"/>
    </row>
    <row r="43" spans="1:40" ht="17" thickBot="1" x14ac:dyDescent="0.25">
      <c r="A43" s="2" t="str">
        <f>'VSV eGFP 171013 '!A43</f>
        <v>Average</v>
      </c>
      <c r="B43" s="11">
        <f>'VSV eGFP 171013 '!B43</f>
        <v>0</v>
      </c>
      <c r="C43" s="82" t="s">
        <v>90</v>
      </c>
      <c r="D43" s="9"/>
      <c r="E43" s="78">
        <f t="shared" ref="E43:N43" si="25">E35*1.1</f>
        <v>110.84533867388966</v>
      </c>
      <c r="F43" s="78">
        <f t="shared" si="25"/>
        <v>12064.724451866283</v>
      </c>
      <c r="G43" s="78">
        <f t="shared" si="25"/>
        <v>29907.131518908784</v>
      </c>
      <c r="H43" s="78">
        <f t="shared" si="25"/>
        <v>41527.418721743859</v>
      </c>
      <c r="I43" s="78">
        <f t="shared" si="25"/>
        <v>57354.549627291046</v>
      </c>
      <c r="J43" s="78">
        <f t="shared" si="25"/>
        <v>69589.765969293207</v>
      </c>
      <c r="K43" s="78">
        <f t="shared" si="25"/>
        <v>25233.153307453733</v>
      </c>
      <c r="L43" s="78">
        <f t="shared" si="25"/>
        <v>20907.016452659202</v>
      </c>
      <c r="M43" s="78">
        <f t="shared" si="25"/>
        <v>71036.034755246714</v>
      </c>
      <c r="N43" s="78">
        <f t="shared" si="25"/>
        <v>98.969056600984203</v>
      </c>
      <c r="P43" s="67"/>
      <c r="AA43" t="s">
        <v>40</v>
      </c>
      <c r="AB43">
        <v>3.7999999999999999E-2</v>
      </c>
      <c r="AC43">
        <v>0.04</v>
      </c>
      <c r="AD43">
        <v>3.9399999999999998E-2</v>
      </c>
      <c r="AE43">
        <v>4.0300000000000002E-2</v>
      </c>
      <c r="AF43">
        <v>3.9899999999999998E-2</v>
      </c>
      <c r="AG43">
        <v>4.0500000000000001E-2</v>
      </c>
      <c r="AH43">
        <v>3.8899999999999997E-2</v>
      </c>
      <c r="AI43">
        <v>4.0500000000000001E-2</v>
      </c>
      <c r="AJ43">
        <v>4.0599999999999997E-2</v>
      </c>
      <c r="AK43">
        <v>4.2599999999999999E-2</v>
      </c>
      <c r="AL43">
        <v>4.19E-2</v>
      </c>
      <c r="AM43">
        <v>5.0299999999999997E-2</v>
      </c>
      <c r="AN43"/>
    </row>
    <row r="44" spans="1:40" ht="17" thickBot="1" x14ac:dyDescent="0.25">
      <c r="A44" s="2">
        <f>'VSV eGFP 171013 '!A44</f>
        <v>0</v>
      </c>
      <c r="B44" s="11">
        <f>'VSV eGFP 171013 '!B44</f>
        <v>0</v>
      </c>
      <c r="C44" s="26" t="s">
        <v>91</v>
      </c>
      <c r="E44" s="26">
        <f t="shared" ref="E44:N44" si="26">AVERAGE(E43,E42)</f>
        <v>269.59171808576212</v>
      </c>
      <c r="F44" s="26">
        <f t="shared" si="26"/>
        <v>12490.687325393923</v>
      </c>
      <c r="G44" s="26">
        <f t="shared" si="26"/>
        <v>29232.82254244807</v>
      </c>
      <c r="H44" s="26">
        <f t="shared" si="26"/>
        <v>43739.04671176197</v>
      </c>
      <c r="I44" s="26">
        <f t="shared" si="26"/>
        <v>59460.610845797702</v>
      </c>
      <c r="J44" s="26">
        <f t="shared" si="26"/>
        <v>72645.930540167727</v>
      </c>
      <c r="K44" s="26">
        <f t="shared" si="26"/>
        <v>25230.513743669264</v>
      </c>
      <c r="L44" s="26">
        <f t="shared" si="26"/>
        <v>20270.447889875388</v>
      </c>
      <c r="M44" s="26">
        <f t="shared" si="26"/>
        <v>75665.147510343231</v>
      </c>
      <c r="N44" s="26">
        <f t="shared" si="26"/>
        <v>306.80408873583661</v>
      </c>
      <c r="O44" s="68"/>
      <c r="P44" s="69"/>
      <c r="AA44" t="s">
        <v>41</v>
      </c>
      <c r="AB44">
        <v>3.8899999999999997E-2</v>
      </c>
      <c r="AC44">
        <v>3.9600000000000003E-2</v>
      </c>
      <c r="AD44">
        <v>4.0099999999999997E-2</v>
      </c>
      <c r="AE44">
        <v>4.19E-2</v>
      </c>
      <c r="AF44">
        <v>3.9199999999999999E-2</v>
      </c>
      <c r="AG44">
        <v>4.0300000000000002E-2</v>
      </c>
      <c r="AH44">
        <v>3.7900000000000003E-2</v>
      </c>
      <c r="AI44">
        <v>0.04</v>
      </c>
      <c r="AJ44">
        <v>3.9E-2</v>
      </c>
      <c r="AK44">
        <v>4.0899999999999999E-2</v>
      </c>
      <c r="AL44">
        <v>3.9300000000000002E-2</v>
      </c>
      <c r="AM44">
        <v>4.1000000000000002E-2</v>
      </c>
      <c r="AN44"/>
    </row>
    <row r="45" spans="1:40" ht="16" x14ac:dyDescent="0.2">
      <c r="A45" s="2" t="str">
        <f>'VSV eGFP 171013 '!A45</f>
        <v>FOLD change (cf 'mock')</v>
      </c>
      <c r="B45" s="11" t="str">
        <f>'VSV eGFP 171013 '!B45</f>
        <v>Fold change</v>
      </c>
      <c r="C45" s="9" t="str">
        <f>'VSV eGFP 171013 '!C45</f>
        <v>#1</v>
      </c>
      <c r="AA45" t="s">
        <v>42</v>
      </c>
      <c r="AB45">
        <v>3.9699999999999999E-2</v>
      </c>
      <c r="AC45">
        <v>4.02E-2</v>
      </c>
      <c r="AD45">
        <v>3.8699999999999998E-2</v>
      </c>
      <c r="AE45">
        <v>3.9399999999999998E-2</v>
      </c>
      <c r="AF45">
        <v>3.85E-2</v>
      </c>
      <c r="AG45">
        <v>0.04</v>
      </c>
      <c r="AH45">
        <v>3.7499999999999999E-2</v>
      </c>
      <c r="AI45">
        <v>3.9100000000000003E-2</v>
      </c>
      <c r="AJ45">
        <v>3.8100000000000002E-2</v>
      </c>
      <c r="AK45">
        <v>3.9600000000000003E-2</v>
      </c>
      <c r="AL45">
        <v>3.8699999999999998E-2</v>
      </c>
      <c r="AM45">
        <v>3.9300000000000002E-2</v>
      </c>
      <c r="AN45"/>
    </row>
    <row r="46" spans="1:40" ht="16" x14ac:dyDescent="0.2">
      <c r="A46" s="2">
        <f>'VSV eGFP 171013 '!A46</f>
        <v>0</v>
      </c>
      <c r="B46" s="11">
        <f>'VSV eGFP 171013 '!B46</f>
        <v>0</v>
      </c>
      <c r="C46" s="9" t="str">
        <f>'VSV eGFP 171013 '!C46</f>
        <v>#2</v>
      </c>
      <c r="AA46" t="s">
        <v>43</v>
      </c>
      <c r="AB46">
        <v>4.19E-2</v>
      </c>
      <c r="AC46">
        <v>3.9899999999999998E-2</v>
      </c>
      <c r="AD46">
        <v>3.8600000000000002E-2</v>
      </c>
      <c r="AE46">
        <v>3.9600000000000003E-2</v>
      </c>
      <c r="AF46">
        <v>3.8899999999999997E-2</v>
      </c>
      <c r="AG46">
        <v>3.9899999999999998E-2</v>
      </c>
      <c r="AH46">
        <v>3.7100000000000001E-2</v>
      </c>
      <c r="AI46">
        <v>4.0300000000000002E-2</v>
      </c>
      <c r="AJ46">
        <v>3.8100000000000002E-2</v>
      </c>
      <c r="AK46">
        <v>4.1099999999999998E-2</v>
      </c>
      <c r="AL46">
        <v>3.8699999999999998E-2</v>
      </c>
      <c r="AM46">
        <v>3.85E-2</v>
      </c>
      <c r="AN46"/>
    </row>
    <row r="47" spans="1:40" ht="16" x14ac:dyDescent="0.2">
      <c r="A47" s="2">
        <f>'VSV eGFP 171013 '!A47</f>
        <v>0</v>
      </c>
      <c r="B47" s="11">
        <f>'VSV eGFP 171013 '!B47</f>
        <v>0</v>
      </c>
      <c r="C47" s="9" t="str">
        <f>'VSV eGFP 171013 '!C47</f>
        <v>#3</v>
      </c>
      <c r="AA47" t="s">
        <v>44</v>
      </c>
      <c r="AB47">
        <v>3.8100000000000002E-2</v>
      </c>
      <c r="AC47">
        <v>4.07E-2</v>
      </c>
      <c r="AD47">
        <v>3.8800000000000001E-2</v>
      </c>
      <c r="AE47">
        <v>3.9899999999999998E-2</v>
      </c>
      <c r="AF47">
        <v>3.9300000000000002E-2</v>
      </c>
      <c r="AG47">
        <v>4.02E-2</v>
      </c>
      <c r="AH47">
        <v>3.7699999999999997E-2</v>
      </c>
      <c r="AI47">
        <v>4.0099999999999997E-2</v>
      </c>
      <c r="AJ47">
        <v>3.8899999999999997E-2</v>
      </c>
      <c r="AK47">
        <v>4.6199999999999998E-2</v>
      </c>
      <c r="AL47">
        <v>3.85E-2</v>
      </c>
      <c r="AM47">
        <v>3.9399999999999998E-2</v>
      </c>
      <c r="AN47"/>
    </row>
    <row r="48" spans="1:40" ht="16" x14ac:dyDescent="0.2">
      <c r="A48" s="2">
        <f>'VSV eGFP 171013 '!A48</f>
        <v>0</v>
      </c>
      <c r="B48" s="11">
        <f>'VSV eGFP 171013 '!B48</f>
        <v>0</v>
      </c>
      <c r="C48" s="9" t="str">
        <f>'VSV eGFP 171013 '!C48</f>
        <v>#4</v>
      </c>
      <c r="AA48" t="s">
        <v>45</v>
      </c>
      <c r="AB48">
        <v>3.9300000000000002E-2</v>
      </c>
      <c r="AC48">
        <v>4.0599999999999997E-2</v>
      </c>
      <c r="AD48">
        <v>3.9600000000000003E-2</v>
      </c>
      <c r="AE48">
        <v>4.3099999999999999E-2</v>
      </c>
      <c r="AF48">
        <v>4.2099999999999999E-2</v>
      </c>
      <c r="AG48">
        <v>4.0099999999999997E-2</v>
      </c>
      <c r="AH48">
        <v>3.7900000000000003E-2</v>
      </c>
      <c r="AI48">
        <v>3.9899999999999998E-2</v>
      </c>
      <c r="AJ48">
        <v>3.9800000000000002E-2</v>
      </c>
      <c r="AK48">
        <v>4.2700000000000002E-2</v>
      </c>
      <c r="AL48">
        <v>3.85E-2</v>
      </c>
      <c r="AM48">
        <v>3.8100000000000002E-2</v>
      </c>
      <c r="AN48"/>
    </row>
    <row r="49" spans="1:40" ht="16" x14ac:dyDescent="0.2">
      <c r="A49" s="2">
        <f>'VSV eGFP 171013 '!A49</f>
        <v>0</v>
      </c>
      <c r="B49" s="11">
        <f>'VSV eGFP 171013 '!B49</f>
        <v>0</v>
      </c>
      <c r="C49" s="9">
        <f>'VSV eGFP 171013 '!C49</f>
        <v>0</v>
      </c>
      <c r="AA49" t="s">
        <v>46</v>
      </c>
      <c r="AB49">
        <v>3.7900000000000003E-2</v>
      </c>
      <c r="AC49">
        <v>4.0599999999999997E-2</v>
      </c>
      <c r="AD49">
        <v>4.0899999999999999E-2</v>
      </c>
      <c r="AE49">
        <v>4.0399999999999998E-2</v>
      </c>
      <c r="AF49">
        <v>4.0599999999999997E-2</v>
      </c>
      <c r="AG49">
        <v>3.9800000000000002E-2</v>
      </c>
      <c r="AH49">
        <v>3.8399999999999997E-2</v>
      </c>
      <c r="AI49">
        <v>0.04</v>
      </c>
      <c r="AJ49">
        <v>4.0099999999999997E-2</v>
      </c>
      <c r="AK49">
        <v>4.3499999999999997E-2</v>
      </c>
      <c r="AL49">
        <v>3.8100000000000002E-2</v>
      </c>
      <c r="AM49">
        <v>4.1300000000000003E-2</v>
      </c>
      <c r="AN49"/>
    </row>
    <row r="50" spans="1:40" ht="16" x14ac:dyDescent="0.2">
      <c r="A50" s="2">
        <f>'VSV eGFP 171013 '!A50</f>
        <v>0</v>
      </c>
      <c r="B50" s="11">
        <f>'VSV eGFP 171013 '!B50</f>
        <v>0</v>
      </c>
      <c r="C50" s="9">
        <f>'VSV eGFP 171013 '!C50</f>
        <v>0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ht="16" x14ac:dyDescent="0.2">
      <c r="A51" s="2" t="str">
        <f>'VSV eGFP 171013 '!A51</f>
        <v>RESULTS -</v>
      </c>
      <c r="B51" s="11">
        <f>'VSV eGFP 171013 '!B51</f>
        <v>0</v>
      </c>
      <c r="C51" s="9" t="str">
        <f>'VSV eGFP 171013 '!C51</f>
        <v>AD38 cells require dilution (higher CXCL10 concentration resulted in saturated ELISA)</v>
      </c>
      <c r="AA51" t="s">
        <v>50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6" x14ac:dyDescent="0.2">
      <c r="AA52" t="s">
        <v>37</v>
      </c>
      <c r="AB52">
        <v>1</v>
      </c>
      <c r="AC52">
        <v>2</v>
      </c>
      <c r="AD52">
        <v>3</v>
      </c>
      <c r="AE52">
        <v>4</v>
      </c>
      <c r="AF52">
        <v>5</v>
      </c>
      <c r="AG52">
        <v>6</v>
      </c>
      <c r="AH52">
        <v>7</v>
      </c>
      <c r="AI52">
        <v>8</v>
      </c>
      <c r="AJ52">
        <v>9</v>
      </c>
      <c r="AK52">
        <v>10</v>
      </c>
      <c r="AL52">
        <v>11</v>
      </c>
      <c r="AM52">
        <v>12</v>
      </c>
      <c r="AN52"/>
    </row>
    <row r="53" spans="1:40" ht="16" x14ac:dyDescent="0.2">
      <c r="AA53" t="s">
        <v>39</v>
      </c>
      <c r="AB53">
        <v>2.5499999999999998E-2</v>
      </c>
      <c r="AC53">
        <v>0.55640000000000001</v>
      </c>
      <c r="AD53">
        <v>0.55610000000000004</v>
      </c>
      <c r="AE53">
        <v>0.71879999999999999</v>
      </c>
      <c r="AF53">
        <v>0.59609999999999996</v>
      </c>
      <c r="AG53">
        <v>0.75109999999999999</v>
      </c>
      <c r="AH53">
        <v>2.93E-2</v>
      </c>
      <c r="AI53">
        <v>0.74870000000000003</v>
      </c>
      <c r="AJ53">
        <v>0.56220000000000003</v>
      </c>
      <c r="AK53">
        <v>1.1435999999999999</v>
      </c>
      <c r="AL53" s="96">
        <v>2.1453000000000002</v>
      </c>
      <c r="AM53" s="96">
        <v>2.1981000000000002</v>
      </c>
      <c r="AN53"/>
    </row>
    <row r="54" spans="1:40" ht="16" x14ac:dyDescent="0.2">
      <c r="AA54" t="s">
        <v>40</v>
      </c>
      <c r="AB54">
        <v>2.53E-2</v>
      </c>
      <c r="AC54">
        <v>0.58189999999999997</v>
      </c>
      <c r="AD54">
        <v>0.52090000000000003</v>
      </c>
      <c r="AE54">
        <v>0.71789999999999998</v>
      </c>
      <c r="AF54">
        <v>0.53420000000000001</v>
      </c>
      <c r="AG54">
        <v>0.7258</v>
      </c>
      <c r="AH54">
        <v>2.6499999999999999E-2</v>
      </c>
      <c r="AI54">
        <v>0.745</v>
      </c>
      <c r="AJ54">
        <v>0.54430000000000001</v>
      </c>
      <c r="AK54">
        <v>1.0873999999999999</v>
      </c>
      <c r="AL54" s="96">
        <v>0.9546</v>
      </c>
      <c r="AM54" s="96">
        <v>1.0019</v>
      </c>
      <c r="AN54"/>
    </row>
    <row r="55" spans="1:40" ht="16" x14ac:dyDescent="0.2">
      <c r="AA55" t="s">
        <v>41</v>
      </c>
      <c r="AB55">
        <v>2.5600000000000001E-2</v>
      </c>
      <c r="AC55">
        <v>0.50170000000000003</v>
      </c>
      <c r="AD55">
        <v>0.4526</v>
      </c>
      <c r="AE55">
        <v>0.89349999999999996</v>
      </c>
      <c r="AF55">
        <v>0.5282</v>
      </c>
      <c r="AG55">
        <v>0.76160000000000005</v>
      </c>
      <c r="AH55">
        <v>3.0800000000000001E-2</v>
      </c>
      <c r="AI55">
        <v>0.69650000000000001</v>
      </c>
      <c r="AJ55">
        <v>0.46550000000000002</v>
      </c>
      <c r="AK55">
        <v>1.0662</v>
      </c>
      <c r="AL55" s="96">
        <v>0.46920000000000001</v>
      </c>
      <c r="AM55" s="96">
        <v>0.48120000000000002</v>
      </c>
      <c r="AN55"/>
    </row>
    <row r="56" spans="1:40" ht="16" x14ac:dyDescent="0.2">
      <c r="AA56" t="s">
        <v>42</v>
      </c>
      <c r="AB56">
        <v>2.5999999999999999E-2</v>
      </c>
      <c r="AC56">
        <v>0.49</v>
      </c>
      <c r="AD56">
        <v>0.44590000000000002</v>
      </c>
      <c r="AE56">
        <v>0.84260000000000002</v>
      </c>
      <c r="AF56">
        <v>0.44429999999999997</v>
      </c>
      <c r="AG56">
        <v>0.72940000000000005</v>
      </c>
      <c r="AH56">
        <v>2.76E-2</v>
      </c>
      <c r="AI56">
        <v>0.6774</v>
      </c>
      <c r="AJ56">
        <v>0.4622</v>
      </c>
      <c r="AK56">
        <v>0.98470000000000002</v>
      </c>
      <c r="AL56" s="96">
        <v>0.23469999999999999</v>
      </c>
      <c r="AM56" s="96">
        <v>0.2475</v>
      </c>
      <c r="AN56"/>
    </row>
    <row r="57" spans="1:40" ht="16" x14ac:dyDescent="0.2">
      <c r="AA57" t="s">
        <v>43</v>
      </c>
      <c r="AB57">
        <v>2.64E-2</v>
      </c>
      <c r="AC57">
        <v>0.84</v>
      </c>
      <c r="AD57">
        <v>0.5605</v>
      </c>
      <c r="AE57">
        <v>0.89349999999999996</v>
      </c>
      <c r="AF57">
        <v>0.60219999999999996</v>
      </c>
      <c r="AG57">
        <v>0.74219999999999997</v>
      </c>
      <c r="AH57">
        <v>2.9600000000000001E-2</v>
      </c>
      <c r="AI57">
        <v>0.78220000000000001</v>
      </c>
      <c r="AJ57">
        <v>0.47849999999999998</v>
      </c>
      <c r="AK57">
        <v>1.2567999999999999</v>
      </c>
      <c r="AL57" s="96">
        <v>0.1273</v>
      </c>
      <c r="AM57" s="96">
        <v>0.12709999999999999</v>
      </c>
      <c r="AN57"/>
    </row>
    <row r="58" spans="1:40" ht="16" x14ac:dyDescent="0.2">
      <c r="AA58" t="s">
        <v>44</v>
      </c>
      <c r="AB58">
        <v>2.7699999999999999E-2</v>
      </c>
      <c r="AC58">
        <v>0.79139999999999999</v>
      </c>
      <c r="AD58">
        <v>0.52159999999999995</v>
      </c>
      <c r="AE58">
        <v>0.84760000000000002</v>
      </c>
      <c r="AF58">
        <v>0.56420000000000003</v>
      </c>
      <c r="AG58">
        <v>0.69199999999999995</v>
      </c>
      <c r="AH58">
        <v>3.5400000000000001E-2</v>
      </c>
      <c r="AI58">
        <v>0.73899999999999999</v>
      </c>
      <c r="AJ58">
        <v>0.47739999999999999</v>
      </c>
      <c r="AK58">
        <v>1.2230000000000001</v>
      </c>
      <c r="AL58" s="96">
        <v>7.7899999999999997E-2</v>
      </c>
      <c r="AM58" s="96">
        <v>7.5999999999999998E-2</v>
      </c>
      <c r="AN58"/>
    </row>
    <row r="59" spans="1:40" ht="16" x14ac:dyDescent="0.2">
      <c r="AA59" t="s">
        <v>45</v>
      </c>
      <c r="AB59">
        <v>3.1199999999999999E-2</v>
      </c>
      <c r="AC59">
        <v>0.81559999999999999</v>
      </c>
      <c r="AD59">
        <v>0.61629999999999996</v>
      </c>
      <c r="AE59">
        <v>0.84940000000000004</v>
      </c>
      <c r="AF59">
        <v>0.58260000000000001</v>
      </c>
      <c r="AG59">
        <v>0.69230000000000003</v>
      </c>
      <c r="AH59">
        <v>3.2099999999999997E-2</v>
      </c>
      <c r="AI59">
        <v>0.71030000000000004</v>
      </c>
      <c r="AJ59">
        <v>0.52459999999999996</v>
      </c>
      <c r="AK59">
        <v>1.4064000000000001</v>
      </c>
      <c r="AL59" s="96">
        <v>5.1400000000000001E-2</v>
      </c>
      <c r="AM59" s="96">
        <v>5.0999999999999997E-2</v>
      </c>
      <c r="AN59"/>
    </row>
    <row r="60" spans="1:40" ht="21" customHeight="1" x14ac:dyDescent="0.2">
      <c r="D60" s="6" t="s">
        <v>94</v>
      </c>
      <c r="E60" s="5" t="s">
        <v>95</v>
      </c>
      <c r="F60" s="5" t="s">
        <v>96</v>
      </c>
      <c r="K60" s="6" t="s">
        <v>97</v>
      </c>
      <c r="N60" s="6" t="s">
        <v>98</v>
      </c>
      <c r="AA60" t="s">
        <v>46</v>
      </c>
      <c r="AB60">
        <v>3.5400000000000001E-2</v>
      </c>
      <c r="AC60">
        <v>0.76080000000000003</v>
      </c>
      <c r="AD60">
        <v>0.56950000000000001</v>
      </c>
      <c r="AE60">
        <v>0.77669999999999995</v>
      </c>
      <c r="AF60">
        <v>0.55659999999999998</v>
      </c>
      <c r="AG60">
        <v>0.67869999999999997</v>
      </c>
      <c r="AH60">
        <v>3.3000000000000002E-2</v>
      </c>
      <c r="AI60">
        <v>0.68810000000000004</v>
      </c>
      <c r="AJ60">
        <v>0.48409999999999997</v>
      </c>
      <c r="AK60">
        <v>1.2867999999999999</v>
      </c>
      <c r="AL60" s="96">
        <v>2.7099999999999999E-2</v>
      </c>
      <c r="AM60" s="96">
        <v>2.5499999999999998E-2</v>
      </c>
      <c r="AN60"/>
    </row>
    <row r="61" spans="1:40" ht="16" x14ac:dyDescent="0.2">
      <c r="D61" s="6" t="s">
        <v>99</v>
      </c>
      <c r="E61" s="6">
        <v>94.5</v>
      </c>
      <c r="F61" s="6">
        <v>3.7999999999999999E-2</v>
      </c>
      <c r="G61" s="6" t="s">
        <v>75</v>
      </c>
      <c r="I61" s="6" t="str">
        <f>G61</f>
        <v>MOCK</v>
      </c>
      <c r="K61" s="6">
        <f>F61</f>
        <v>3.7999999999999999E-2</v>
      </c>
      <c r="N61" s="6">
        <f>E61</f>
        <v>94.5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6" x14ac:dyDescent="0.2">
      <c r="D62" s="6" t="s">
        <v>100</v>
      </c>
      <c r="E62" s="6">
        <v>94.2</v>
      </c>
      <c r="F62" s="49">
        <v>2.4599999999999999E-3</v>
      </c>
      <c r="G62" s="6" t="s">
        <v>101</v>
      </c>
      <c r="I62" s="6" t="str">
        <f>G62</f>
        <v>IFNPC3SK4</v>
      </c>
      <c r="K62" s="6">
        <f>F62</f>
        <v>2.4599999999999999E-3</v>
      </c>
      <c r="N62" s="6">
        <f>E62</f>
        <v>94.2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6" x14ac:dyDescent="0.2">
      <c r="D63" s="6" t="s">
        <v>102</v>
      </c>
      <c r="E63" s="6">
        <v>68.7</v>
      </c>
      <c r="F63" s="6">
        <v>39.6</v>
      </c>
      <c r="G63" s="6" t="s">
        <v>103</v>
      </c>
      <c r="I63" s="6" t="str">
        <f>G68</f>
        <v>VSV-HIV 0_0625</v>
      </c>
      <c r="K63" s="6">
        <f>F68</f>
        <v>8.82</v>
      </c>
      <c r="N63" s="6">
        <f>E68</f>
        <v>88.1</v>
      </c>
      <c r="AA63" t="s">
        <v>51</v>
      </c>
      <c r="AB63" s="95">
        <v>43167.629953703705</v>
      </c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6" x14ac:dyDescent="0.2">
      <c r="D64" s="6" t="s">
        <v>104</v>
      </c>
      <c r="E64" s="6">
        <v>84.3</v>
      </c>
      <c r="F64" s="6">
        <v>1.0999999999999999E-2</v>
      </c>
      <c r="G64" s="6" t="s">
        <v>105</v>
      </c>
      <c r="I64" s="6" t="str">
        <f>G70</f>
        <v>VSV-HIV 0_125</v>
      </c>
      <c r="K64" s="6">
        <f>F70</f>
        <v>16</v>
      </c>
      <c r="N64" s="6">
        <f>E70</f>
        <v>88.4</v>
      </c>
      <c r="AA64"/>
      <c r="AB64" s="142" t="s">
        <v>8</v>
      </c>
      <c r="AC64" s="142"/>
      <c r="AD64" s="142"/>
      <c r="AE64" s="142"/>
      <c r="AF64" s="142"/>
      <c r="AG64" s="142"/>
      <c r="AH64" s="142"/>
      <c r="AI64" s="142"/>
      <c r="AJ64" s="142"/>
      <c r="AK64" s="142"/>
      <c r="AL64" s="142" t="s">
        <v>194</v>
      </c>
      <c r="AM64" s="142"/>
      <c r="AN64"/>
    </row>
    <row r="65" spans="4:40" ht="35" thickBot="1" x14ac:dyDescent="0.25">
      <c r="D65" s="6" t="s">
        <v>106</v>
      </c>
      <c r="E65" s="6">
        <v>99.6</v>
      </c>
      <c r="F65" s="6">
        <v>8.1199999999999992</v>
      </c>
      <c r="G65" s="6" t="s">
        <v>107</v>
      </c>
      <c r="I65" s="6" t="str">
        <f>G69</f>
        <v>VSV-HIV 0_25</v>
      </c>
      <c r="K65" s="6">
        <f>F69</f>
        <v>24.2</v>
      </c>
      <c r="N65" s="6">
        <f>E69</f>
        <v>82.2</v>
      </c>
      <c r="AA65" s="144" t="s">
        <v>193</v>
      </c>
      <c r="AB65" s="145">
        <f>AB52</f>
        <v>1</v>
      </c>
      <c r="AC65" s="145">
        <f t="shared" ref="AC65:AM65" si="27">AC52</f>
        <v>2</v>
      </c>
      <c r="AD65" s="145">
        <f t="shared" si="27"/>
        <v>3</v>
      </c>
      <c r="AE65" s="145">
        <f t="shared" si="27"/>
        <v>4</v>
      </c>
      <c r="AF65" s="145">
        <f t="shared" si="27"/>
        <v>5</v>
      </c>
      <c r="AG65" s="145">
        <f t="shared" si="27"/>
        <v>6</v>
      </c>
      <c r="AH65" s="145">
        <f t="shared" si="27"/>
        <v>7</v>
      </c>
      <c r="AI65" s="145">
        <f t="shared" si="27"/>
        <v>8</v>
      </c>
      <c r="AJ65" s="145">
        <f t="shared" si="27"/>
        <v>9</v>
      </c>
      <c r="AK65" s="145">
        <f t="shared" si="27"/>
        <v>10</v>
      </c>
      <c r="AL65" s="145">
        <f t="shared" si="27"/>
        <v>11</v>
      </c>
      <c r="AM65" s="145">
        <f t="shared" si="27"/>
        <v>12</v>
      </c>
      <c r="AN65"/>
    </row>
    <row r="66" spans="4:40" ht="33" thickBot="1" x14ac:dyDescent="0.25">
      <c r="D66" s="6" t="s">
        <v>108</v>
      </c>
      <c r="E66" s="6">
        <v>58.8</v>
      </c>
      <c r="F66" s="6">
        <v>39.200000000000003</v>
      </c>
      <c r="G66" s="6" t="s">
        <v>109</v>
      </c>
      <c r="I66" s="6" t="str">
        <f>G67</f>
        <v>VSV-HIV 0_5</v>
      </c>
      <c r="K66" s="6">
        <f>F67</f>
        <v>39</v>
      </c>
      <c r="N66" s="6">
        <f>E67</f>
        <v>81.599999999999994</v>
      </c>
      <c r="Y66" s="148" t="s">
        <v>407</v>
      </c>
      <c r="Z66" s="148" t="s">
        <v>402</v>
      </c>
      <c r="AA66" s="145" t="str">
        <f>AA53</f>
        <v>A</v>
      </c>
      <c r="AB66" s="1" t="s">
        <v>351</v>
      </c>
      <c r="AC66" s="1" t="s">
        <v>352</v>
      </c>
      <c r="AD66" s="1" t="s">
        <v>353</v>
      </c>
      <c r="AE66" s="1" t="s">
        <v>354</v>
      </c>
      <c r="AF66" s="1" t="s">
        <v>355</v>
      </c>
      <c r="AG66" s="1" t="s">
        <v>356</v>
      </c>
      <c r="AH66" s="1" t="s">
        <v>358</v>
      </c>
      <c r="AI66" s="1" t="s">
        <v>359</v>
      </c>
      <c r="AJ66" s="1" t="s">
        <v>357</v>
      </c>
      <c r="AK66" s="50" t="s">
        <v>398</v>
      </c>
      <c r="AL66" s="8">
        <v>1000</v>
      </c>
      <c r="AM66" s="8">
        <v>1000</v>
      </c>
    </row>
    <row r="67" spans="4:40" ht="33" thickBot="1" x14ac:dyDescent="0.25">
      <c r="D67" s="6" t="s">
        <v>110</v>
      </c>
      <c r="E67" s="6">
        <v>81.599999999999994</v>
      </c>
      <c r="F67" s="6">
        <v>39</v>
      </c>
      <c r="G67" s="6" t="s">
        <v>111</v>
      </c>
      <c r="I67" s="6" t="str">
        <f>G65</f>
        <v>VSV-HIV RAL</v>
      </c>
      <c r="K67" s="6">
        <f>F65</f>
        <v>8.1199999999999992</v>
      </c>
      <c r="N67" s="6">
        <f>E65</f>
        <v>99.6</v>
      </c>
      <c r="Y67" s="148"/>
      <c r="Z67" s="148"/>
      <c r="AA67" s="145" t="str">
        <f t="shared" ref="AA67:AA73" si="28">AA54</f>
        <v>B</v>
      </c>
      <c r="AB67" s="1" t="s">
        <v>360</v>
      </c>
      <c r="AC67" s="1" t="s">
        <v>361</v>
      </c>
      <c r="AD67" s="1" t="s">
        <v>362</v>
      </c>
      <c r="AE67" s="1" t="s">
        <v>363</v>
      </c>
      <c r="AF67" s="1" t="s">
        <v>364</v>
      </c>
      <c r="AG67" s="1" t="s">
        <v>365</v>
      </c>
      <c r="AH67" s="1" t="s">
        <v>367</v>
      </c>
      <c r="AI67" s="1" t="s">
        <v>368</v>
      </c>
      <c r="AJ67" s="1" t="s">
        <v>366</v>
      </c>
      <c r="AK67" s="50" t="s">
        <v>399</v>
      </c>
      <c r="AL67" s="8">
        <v>500</v>
      </c>
      <c r="AM67" s="8">
        <v>500</v>
      </c>
    </row>
    <row r="68" spans="4:40" ht="33" thickBot="1" x14ac:dyDescent="0.25">
      <c r="D68" s="6" t="s">
        <v>112</v>
      </c>
      <c r="E68" s="6">
        <v>88.1</v>
      </c>
      <c r="F68" s="6">
        <v>8.82</v>
      </c>
      <c r="G68" s="6" t="s">
        <v>113</v>
      </c>
      <c r="I68" s="6" t="str">
        <f>G64</f>
        <v>VSV-HIV EFV</v>
      </c>
      <c r="K68" s="6">
        <f>F64</f>
        <v>1.0999999999999999E-2</v>
      </c>
      <c r="N68" s="6">
        <f>E64</f>
        <v>84.3</v>
      </c>
      <c r="Y68" s="148"/>
      <c r="Z68" s="148"/>
      <c r="AA68" s="145" t="str">
        <f t="shared" si="28"/>
        <v>C</v>
      </c>
      <c r="AB68" s="1" t="s">
        <v>369</v>
      </c>
      <c r="AC68" s="1" t="s">
        <v>370</v>
      </c>
      <c r="AD68" s="1" t="s">
        <v>371</v>
      </c>
      <c r="AE68" s="1" t="s">
        <v>372</v>
      </c>
      <c r="AF68" s="1" t="s">
        <v>373</v>
      </c>
      <c r="AG68" s="1" t="s">
        <v>374</v>
      </c>
      <c r="AH68" s="1" t="s">
        <v>376</v>
      </c>
      <c r="AI68" s="1" t="s">
        <v>377</v>
      </c>
      <c r="AJ68" s="1" t="s">
        <v>375</v>
      </c>
      <c r="AK68" s="147" t="s">
        <v>400</v>
      </c>
      <c r="AL68" s="8">
        <v>250</v>
      </c>
      <c r="AM68" s="8">
        <v>250</v>
      </c>
    </row>
    <row r="69" spans="4:40" ht="33" thickBot="1" x14ac:dyDescent="0.25">
      <c r="D69" s="6" t="s">
        <v>114</v>
      </c>
      <c r="E69" s="6">
        <v>82.2</v>
      </c>
      <c r="F69" s="6">
        <v>24.2</v>
      </c>
      <c r="G69" s="6" t="s">
        <v>115</v>
      </c>
      <c r="I69" s="6" t="str">
        <f>G66</f>
        <v>VSV-HIV T20</v>
      </c>
      <c r="K69" s="6">
        <f>F66</f>
        <v>39.200000000000003</v>
      </c>
      <c r="N69" s="6">
        <f>E66</f>
        <v>58.8</v>
      </c>
      <c r="Y69" s="148"/>
      <c r="Z69" s="148"/>
      <c r="AA69" s="145" t="str">
        <f t="shared" si="28"/>
        <v>D</v>
      </c>
      <c r="AB69" s="1" t="s">
        <v>378</v>
      </c>
      <c r="AC69" s="1" t="s">
        <v>379</v>
      </c>
      <c r="AD69" s="1" t="s">
        <v>380</v>
      </c>
      <c r="AE69" s="1" t="s">
        <v>381</v>
      </c>
      <c r="AF69" s="1" t="s">
        <v>382</v>
      </c>
      <c r="AG69" s="1" t="s">
        <v>383</v>
      </c>
      <c r="AH69" s="1" t="s">
        <v>385</v>
      </c>
      <c r="AI69" s="1" t="s">
        <v>386</v>
      </c>
      <c r="AJ69" s="1" t="s">
        <v>384</v>
      </c>
      <c r="AK69" s="147" t="s">
        <v>401</v>
      </c>
      <c r="AL69" s="8">
        <v>125</v>
      </c>
      <c r="AM69" s="8">
        <v>125</v>
      </c>
    </row>
    <row r="70" spans="4:40" ht="33" thickBot="1" x14ac:dyDescent="0.25">
      <c r="D70" s="6" t="s">
        <v>116</v>
      </c>
      <c r="E70" s="6">
        <v>88.4</v>
      </c>
      <c r="F70" s="6">
        <v>16</v>
      </c>
      <c r="G70" s="6" t="s">
        <v>117</v>
      </c>
      <c r="I70" s="6" t="str">
        <f>G63</f>
        <v>VSV-HIV 0_5 alone</v>
      </c>
      <c r="K70" s="6">
        <f>F63</f>
        <v>39.6</v>
      </c>
      <c r="N70" s="6">
        <f>E63</f>
        <v>68.7</v>
      </c>
      <c r="Y70" s="148"/>
      <c r="Z70" s="148" t="s">
        <v>403</v>
      </c>
      <c r="AA70" s="145" t="str">
        <f t="shared" si="28"/>
        <v>E</v>
      </c>
      <c r="AB70" s="1" t="s">
        <v>351</v>
      </c>
      <c r="AC70" s="1" t="s">
        <v>352</v>
      </c>
      <c r="AD70" s="1" t="s">
        <v>353</v>
      </c>
      <c r="AE70" s="1" t="s">
        <v>354</v>
      </c>
      <c r="AF70" s="1" t="s">
        <v>355</v>
      </c>
      <c r="AG70" s="1" t="s">
        <v>356</v>
      </c>
      <c r="AH70" s="1" t="s">
        <v>358</v>
      </c>
      <c r="AI70" s="1" t="s">
        <v>359</v>
      </c>
      <c r="AJ70" s="1" t="s">
        <v>357</v>
      </c>
      <c r="AK70" s="50" t="s">
        <v>398</v>
      </c>
      <c r="AL70" s="8">
        <v>62.5</v>
      </c>
      <c r="AM70" s="8">
        <v>62.5</v>
      </c>
    </row>
    <row r="71" spans="4:40" ht="33" thickBot="1" x14ac:dyDescent="0.25">
      <c r="D71" s="6" t="s">
        <v>118</v>
      </c>
      <c r="E71" s="6">
        <v>96.2</v>
      </c>
      <c r="F71" s="6">
        <v>1.0999999999999999E-2</v>
      </c>
      <c r="G71" s="6" t="s">
        <v>0</v>
      </c>
      <c r="I71" s="6" t="str">
        <f>G71</f>
        <v>NIL</v>
      </c>
      <c r="K71" s="6">
        <f>F71</f>
        <v>1.0999999999999999E-2</v>
      </c>
      <c r="N71" s="6">
        <f>E71</f>
        <v>96.2</v>
      </c>
      <c r="Y71" s="148"/>
      <c r="Z71" s="148"/>
      <c r="AA71" s="145" t="str">
        <f t="shared" si="28"/>
        <v>F</v>
      </c>
      <c r="AB71" s="1" t="s">
        <v>360</v>
      </c>
      <c r="AC71" s="1" t="s">
        <v>361</v>
      </c>
      <c r="AD71" s="1" t="s">
        <v>362</v>
      </c>
      <c r="AE71" s="1" t="s">
        <v>363</v>
      </c>
      <c r="AF71" s="1" t="s">
        <v>364</v>
      </c>
      <c r="AG71" s="1" t="s">
        <v>365</v>
      </c>
      <c r="AH71" s="1" t="s">
        <v>367</v>
      </c>
      <c r="AI71" s="1" t="s">
        <v>368</v>
      </c>
      <c r="AJ71" s="1" t="s">
        <v>366</v>
      </c>
      <c r="AK71" s="50" t="s">
        <v>399</v>
      </c>
      <c r="AL71" s="8">
        <v>31.25</v>
      </c>
      <c r="AM71" s="8">
        <v>31.25</v>
      </c>
    </row>
    <row r="72" spans="4:40" ht="33" thickBot="1" x14ac:dyDescent="0.25">
      <c r="D72" s="6" t="s">
        <v>119</v>
      </c>
      <c r="E72" s="6">
        <v>83.1</v>
      </c>
      <c r="F72" s="6">
        <v>1.2E-2</v>
      </c>
      <c r="G72" s="6" t="s">
        <v>101</v>
      </c>
      <c r="I72" s="6" t="str">
        <f>G72</f>
        <v>IFNPC3SK4</v>
      </c>
      <c r="K72" s="6">
        <f>F72</f>
        <v>1.2E-2</v>
      </c>
      <c r="N72" s="6">
        <f>E72</f>
        <v>83.1</v>
      </c>
      <c r="Y72" s="148"/>
      <c r="Z72" s="148"/>
      <c r="AA72" s="145" t="str">
        <f t="shared" si="28"/>
        <v>G</v>
      </c>
      <c r="AB72" s="1" t="s">
        <v>369</v>
      </c>
      <c r="AC72" s="1" t="s">
        <v>370</v>
      </c>
      <c r="AD72" s="1" t="s">
        <v>371</v>
      </c>
      <c r="AE72" s="1" t="s">
        <v>372</v>
      </c>
      <c r="AF72" s="1" t="s">
        <v>373</v>
      </c>
      <c r="AG72" s="1" t="s">
        <v>374</v>
      </c>
      <c r="AH72" s="1" t="s">
        <v>376</v>
      </c>
      <c r="AI72" s="1" t="s">
        <v>377</v>
      </c>
      <c r="AJ72" s="1" t="s">
        <v>375</v>
      </c>
      <c r="AK72" s="147" t="s">
        <v>400</v>
      </c>
      <c r="AL72" s="8">
        <v>15.625</v>
      </c>
      <c r="AM72" s="8">
        <v>15.625</v>
      </c>
    </row>
    <row r="73" spans="4:40" ht="32" x14ac:dyDescent="0.2">
      <c r="D73" s="6" t="s">
        <v>120</v>
      </c>
      <c r="E73" s="6">
        <v>84.4</v>
      </c>
      <c r="F73" s="6">
        <v>51.7</v>
      </c>
      <c r="G73" s="6" t="s">
        <v>103</v>
      </c>
      <c r="I73" s="6" t="str">
        <f>G78</f>
        <v>VSV-HIV 0_0625</v>
      </c>
      <c r="K73" s="6">
        <f>F78</f>
        <v>12.5</v>
      </c>
      <c r="N73" s="6">
        <f>E78</f>
        <v>78.099999999999994</v>
      </c>
      <c r="Y73" s="148"/>
      <c r="Z73" s="148"/>
      <c r="AA73" s="145" t="str">
        <f t="shared" si="28"/>
        <v>H</v>
      </c>
      <c r="AB73" s="1" t="s">
        <v>378</v>
      </c>
      <c r="AC73" s="1" t="s">
        <v>379</v>
      </c>
      <c r="AD73" s="1" t="s">
        <v>380</v>
      </c>
      <c r="AE73" s="1" t="s">
        <v>381</v>
      </c>
      <c r="AF73" s="1" t="s">
        <v>382</v>
      </c>
      <c r="AG73" s="1" t="s">
        <v>383</v>
      </c>
      <c r="AH73" s="1" t="s">
        <v>385</v>
      </c>
      <c r="AI73" s="1" t="s">
        <v>386</v>
      </c>
      <c r="AJ73" s="1" t="s">
        <v>384</v>
      </c>
      <c r="AK73" s="147" t="s">
        <v>401</v>
      </c>
      <c r="AL73" s="150" t="s">
        <v>48</v>
      </c>
      <c r="AM73" s="150" t="s">
        <v>48</v>
      </c>
    </row>
    <row r="74" spans="4:40" x14ac:dyDescent="0.2">
      <c r="D74" s="6" t="s">
        <v>121</v>
      </c>
      <c r="E74" s="6">
        <v>88.2</v>
      </c>
      <c r="F74" s="6">
        <v>7.6999999999999999E-2</v>
      </c>
      <c r="G74" s="6" t="s">
        <v>105</v>
      </c>
      <c r="I74" s="6" t="str">
        <f>G80</f>
        <v>VSV-HIV 0_125</v>
      </c>
      <c r="K74" s="6">
        <f>F80</f>
        <v>21.7</v>
      </c>
      <c r="N74" s="6">
        <f>E80</f>
        <v>81.900000000000006</v>
      </c>
    </row>
    <row r="75" spans="4:40" x14ac:dyDescent="0.2">
      <c r="D75" s="6" t="s">
        <v>122</v>
      </c>
      <c r="E75" s="6">
        <v>93.7</v>
      </c>
      <c r="F75" s="6">
        <v>5.8</v>
      </c>
      <c r="G75" s="6" t="s">
        <v>107</v>
      </c>
      <c r="I75" s="6" t="str">
        <f>G79</f>
        <v>VSV-HIV 0_25</v>
      </c>
      <c r="K75" s="6">
        <f>F79</f>
        <v>36.4</v>
      </c>
      <c r="N75" s="6">
        <f>E79</f>
        <v>89</v>
      </c>
    </row>
    <row r="76" spans="4:40" x14ac:dyDescent="0.2">
      <c r="D76" s="6" t="s">
        <v>123</v>
      </c>
      <c r="E76" s="6">
        <v>86.9</v>
      </c>
      <c r="F76" s="6">
        <v>52.3</v>
      </c>
      <c r="G76" s="6" t="s">
        <v>109</v>
      </c>
      <c r="I76" s="6" t="str">
        <f>G77</f>
        <v xml:space="preserve">VSV-HIV 0_5 </v>
      </c>
      <c r="K76" s="6">
        <f>F77</f>
        <v>60.4</v>
      </c>
      <c r="N76" s="6">
        <f>E77</f>
        <v>81.900000000000006</v>
      </c>
    </row>
    <row r="77" spans="4:40" x14ac:dyDescent="0.2">
      <c r="D77" s="6" t="s">
        <v>124</v>
      </c>
      <c r="E77" s="6">
        <v>81.900000000000006</v>
      </c>
      <c r="F77" s="6">
        <v>60.4</v>
      </c>
      <c r="G77" s="6" t="s">
        <v>125</v>
      </c>
      <c r="I77" s="6" t="str">
        <f>G75</f>
        <v>VSV-HIV RAL</v>
      </c>
      <c r="K77" s="6">
        <f>F75</f>
        <v>5.8</v>
      </c>
      <c r="N77" s="6">
        <f>E75</f>
        <v>93.7</v>
      </c>
    </row>
    <row r="78" spans="4:40" x14ac:dyDescent="0.2">
      <c r="D78" s="6" t="s">
        <v>126</v>
      </c>
      <c r="E78" s="6">
        <v>78.099999999999994</v>
      </c>
      <c r="F78" s="6">
        <v>12.5</v>
      </c>
      <c r="G78" s="6" t="s">
        <v>113</v>
      </c>
      <c r="I78" s="6" t="str">
        <f>G74</f>
        <v>VSV-HIV EFV</v>
      </c>
      <c r="K78" s="6">
        <f>F74</f>
        <v>7.6999999999999999E-2</v>
      </c>
      <c r="N78" s="6">
        <f>E74</f>
        <v>88.2</v>
      </c>
    </row>
    <row r="79" spans="4:40" x14ac:dyDescent="0.2">
      <c r="D79" s="6" t="s">
        <v>127</v>
      </c>
      <c r="E79" s="6">
        <v>89</v>
      </c>
      <c r="F79" s="6">
        <v>36.4</v>
      </c>
      <c r="G79" s="6" t="s">
        <v>115</v>
      </c>
      <c r="I79" s="6" t="str">
        <f>G76</f>
        <v>VSV-HIV T20</v>
      </c>
      <c r="K79" s="6">
        <f>F76</f>
        <v>52.3</v>
      </c>
      <c r="N79" s="6">
        <f>E76</f>
        <v>86.9</v>
      </c>
    </row>
    <row r="80" spans="4:40" x14ac:dyDescent="0.2">
      <c r="D80" s="6" t="s">
        <v>128</v>
      </c>
      <c r="E80" s="6">
        <v>81.900000000000006</v>
      </c>
      <c r="F80" s="6">
        <v>21.7</v>
      </c>
      <c r="G80" s="6" t="s">
        <v>117</v>
      </c>
      <c r="I80" s="6" t="str">
        <f>G73</f>
        <v>VSV-HIV 0_5 alone</v>
      </c>
      <c r="K80" s="6">
        <f>F73</f>
        <v>51.7</v>
      </c>
      <c r="N80" s="6">
        <f>E73</f>
        <v>84.4</v>
      </c>
    </row>
    <row r="81" spans="4:6" x14ac:dyDescent="0.2">
      <c r="D81" s="6" t="s">
        <v>129</v>
      </c>
      <c r="E81" s="6">
        <v>85.2</v>
      </c>
      <c r="F81" s="6">
        <v>20.8</v>
      </c>
    </row>
    <row r="82" spans="4:6" x14ac:dyDescent="0.2">
      <c r="D82" s="6" t="s">
        <v>130</v>
      </c>
      <c r="E82" s="6">
        <v>9.41</v>
      </c>
      <c r="F82" s="6">
        <v>20.5</v>
      </c>
    </row>
  </sheetData>
  <mergeCells count="6">
    <mergeCell ref="Z66:Z69"/>
    <mergeCell ref="Z70:Z73"/>
    <mergeCell ref="E4:N4"/>
    <mergeCell ref="AB64:AK64"/>
    <mergeCell ref="AL64:AM64"/>
    <mergeCell ref="Y66:Y7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669C-ABC4-CD4E-B477-315F39531F29}">
  <dimension ref="A2:AN73"/>
  <sheetViews>
    <sheetView showZeros="0" topLeftCell="J1" workbookViewId="0">
      <selection activeCell="Z66" sqref="Z66:Z69"/>
    </sheetView>
  </sheetViews>
  <sheetFormatPr baseColWidth="10" defaultColWidth="8.83203125" defaultRowHeight="15" x14ac:dyDescent="0.2"/>
  <cols>
    <col min="1" max="1" width="17.33203125" style="6" customWidth="1"/>
    <col min="2" max="2" width="8.83203125" style="6"/>
    <col min="3" max="3" width="26" style="6" bestFit="1" customWidth="1"/>
    <col min="4" max="4" width="12.1640625" style="6" customWidth="1"/>
    <col min="5" max="5" width="8.83203125" style="6"/>
    <col min="6" max="6" width="13.33203125" style="6" customWidth="1"/>
    <col min="7" max="7" width="18.1640625" style="6" customWidth="1"/>
    <col min="8" max="8" width="8.83203125" style="6"/>
    <col min="9" max="9" width="20.1640625" style="6" customWidth="1"/>
    <col min="10" max="10" width="8.83203125" style="6"/>
    <col min="11" max="11" width="12.5" style="6" customWidth="1"/>
    <col min="12" max="12" width="13" style="6" customWidth="1"/>
    <col min="13" max="13" width="9.1640625" style="6" customWidth="1"/>
    <col min="14" max="14" width="12.6640625" style="6" customWidth="1"/>
    <col min="15" max="29" width="8.83203125" style="6"/>
    <col min="30" max="30" width="12.6640625" style="6" customWidth="1"/>
    <col min="31" max="31" width="13.83203125" style="6" customWidth="1"/>
    <col min="32" max="32" width="11.83203125" style="6" customWidth="1"/>
    <col min="33" max="33" width="11.6640625" style="6" customWidth="1"/>
    <col min="34" max="16384" width="8.83203125" style="6"/>
  </cols>
  <sheetData>
    <row r="2" spans="1:40" ht="16" x14ac:dyDescent="0.2">
      <c r="A2" s="4" t="str">
        <f>'VSV eGFP 171013 '!A2</f>
        <v>Bolded = raw data</v>
      </c>
      <c r="AA2" t="s">
        <v>2</v>
      </c>
      <c r="AB2"/>
      <c r="AC2"/>
      <c r="AD2"/>
      <c r="AE2" t="s">
        <v>3</v>
      </c>
      <c r="AF2"/>
      <c r="AG2"/>
      <c r="AH2"/>
      <c r="AI2"/>
      <c r="AJ2"/>
      <c r="AK2"/>
      <c r="AL2"/>
      <c r="AM2"/>
      <c r="AN2"/>
    </row>
    <row r="3" spans="1:40" ht="16" x14ac:dyDescent="0.2">
      <c r="A3" s="4" t="str">
        <f>'VSV eGFP 171013 '!A3</f>
        <v>4 separate samples, 2x replicate s from each for ELISA</v>
      </c>
      <c r="AA3" t="s">
        <v>4</v>
      </c>
      <c r="AB3"/>
      <c r="AC3"/>
      <c r="AD3"/>
      <c r="AE3" t="s">
        <v>5</v>
      </c>
      <c r="AF3"/>
      <c r="AG3"/>
      <c r="AH3"/>
      <c r="AI3"/>
      <c r="AJ3"/>
      <c r="AK3"/>
      <c r="AL3"/>
      <c r="AM3"/>
      <c r="AN3"/>
    </row>
    <row r="4" spans="1:40" ht="17" thickBot="1" x14ac:dyDescent="0.25">
      <c r="A4" s="4" t="str">
        <f>'VSV eGFP 171013 '!A4</f>
        <v>Cell type</v>
      </c>
      <c r="AA4" t="s">
        <v>6</v>
      </c>
      <c r="AB4"/>
      <c r="AC4"/>
      <c r="AD4"/>
      <c r="AE4" t="s">
        <v>7</v>
      </c>
      <c r="AF4"/>
      <c r="AG4"/>
      <c r="AH4"/>
      <c r="AI4"/>
      <c r="AJ4"/>
      <c r="AK4"/>
      <c r="AL4"/>
      <c r="AM4"/>
      <c r="AN4"/>
    </row>
    <row r="5" spans="1:40" ht="32" x14ac:dyDescent="0.2">
      <c r="A5" s="4" t="str">
        <f>'VSV eGFP 171013 '!A5</f>
        <v>Stimulation -</v>
      </c>
      <c r="B5" s="46" t="s">
        <v>132</v>
      </c>
      <c r="D5" s="6" t="s">
        <v>190</v>
      </c>
      <c r="E5" s="50" t="s">
        <v>181</v>
      </c>
      <c r="F5" s="50" t="s">
        <v>133</v>
      </c>
      <c r="G5" s="50" t="s">
        <v>134</v>
      </c>
      <c r="H5" s="50" t="s">
        <v>135</v>
      </c>
      <c r="I5" s="50" t="s">
        <v>136</v>
      </c>
      <c r="J5" s="50" t="s">
        <v>137</v>
      </c>
      <c r="K5" s="50" t="s">
        <v>138</v>
      </c>
      <c r="L5" s="50" t="s">
        <v>139</v>
      </c>
      <c r="M5" s="51" t="s">
        <v>140</v>
      </c>
      <c r="N5" s="50" t="s">
        <v>141</v>
      </c>
      <c r="Y5" s="6" t="s">
        <v>64</v>
      </c>
      <c r="Z5" s="6" t="s">
        <v>65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6" x14ac:dyDescent="0.2">
      <c r="A6" s="4" t="str">
        <f>'VSV eGFP 171013 '!A6</f>
        <v xml:space="preserve">CXCL10 ELISA date </v>
      </c>
      <c r="B6" s="3" t="s">
        <v>131</v>
      </c>
      <c r="S6" s="29">
        <v>2.1851000785827637</v>
      </c>
      <c r="T6" s="31">
        <v>2.3076000213623047</v>
      </c>
      <c r="U6" s="6">
        <f>AVERAGE(S6:T6)</f>
        <v>2.2463500499725342</v>
      </c>
      <c r="V6" s="6">
        <f>U6-$U$13</f>
        <v>2.2171000493690372</v>
      </c>
      <c r="W6" s="6">
        <v>1000</v>
      </c>
      <c r="Y6" s="6">
        <v>461.14</v>
      </c>
      <c r="AA6" s="96" t="s">
        <v>52</v>
      </c>
      <c r="AB6" s="164">
        <v>43221</v>
      </c>
      <c r="AC6"/>
      <c r="AD6"/>
      <c r="AE6"/>
      <c r="AF6"/>
      <c r="AG6"/>
      <c r="AH6"/>
      <c r="AI6"/>
      <c r="AJ6"/>
      <c r="AK6"/>
      <c r="AL6"/>
      <c r="AM6"/>
      <c r="AN6"/>
    </row>
    <row r="7" spans="1:40" ht="16" x14ac:dyDescent="0.2">
      <c r="A7" s="4">
        <f>'VSV eGFP 171013 '!A7</f>
        <v>0</v>
      </c>
      <c r="S7" s="35">
        <v>1.0315999984741211</v>
      </c>
      <c r="T7" s="36">
        <v>1.0414999723434448</v>
      </c>
      <c r="U7" s="6">
        <f t="shared" ref="U7:U13" si="0">AVERAGE(S7:T7)</f>
        <v>1.036549985408783</v>
      </c>
      <c r="V7" s="6">
        <f t="shared" ref="V7:V13" si="1">U7-$U$13</f>
        <v>1.0072999848052859</v>
      </c>
      <c r="W7" s="6">
        <v>500</v>
      </c>
      <c r="AA7" t="s">
        <v>53</v>
      </c>
      <c r="AB7" s="94">
        <v>0.71442129629629625</v>
      </c>
      <c r="AC7"/>
      <c r="AD7"/>
      <c r="AE7"/>
      <c r="AF7"/>
      <c r="AG7"/>
      <c r="AH7"/>
      <c r="AI7"/>
      <c r="AJ7"/>
      <c r="AK7"/>
      <c r="AL7"/>
      <c r="AM7"/>
      <c r="AN7"/>
    </row>
    <row r="8" spans="1:40" ht="16" x14ac:dyDescent="0.2">
      <c r="A8" s="4" t="str">
        <f>'VSV eGFP 171013 '!A8</f>
        <v>DILUTION for elisa</v>
      </c>
      <c r="B8" s="4">
        <f>'VSV eGFP 171013 '!B8</f>
        <v>0</v>
      </c>
      <c r="C8" s="4"/>
      <c r="D8" s="4"/>
      <c r="E8" s="6">
        <v>33</v>
      </c>
      <c r="F8" s="6">
        <v>33</v>
      </c>
      <c r="G8" s="6">
        <v>33</v>
      </c>
      <c r="H8" s="6">
        <v>33</v>
      </c>
      <c r="I8" s="6">
        <v>33</v>
      </c>
      <c r="J8" s="6">
        <v>33</v>
      </c>
      <c r="K8" s="6">
        <v>33</v>
      </c>
      <c r="L8" s="6">
        <v>33</v>
      </c>
      <c r="M8" s="6">
        <v>33</v>
      </c>
      <c r="N8" s="6">
        <v>33</v>
      </c>
      <c r="S8" s="35">
        <v>0.5350000262260437</v>
      </c>
      <c r="T8" s="36">
        <v>0.53070002794265747</v>
      </c>
      <c r="U8" s="6">
        <f t="shared" si="0"/>
        <v>0.53285002708435059</v>
      </c>
      <c r="V8" s="6">
        <f t="shared" si="1"/>
        <v>0.50360002648085356</v>
      </c>
      <c r="W8" s="6">
        <v>250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6" x14ac:dyDescent="0.2">
      <c r="A9" s="4">
        <f>'VSV eGFP 171013 '!A9</f>
        <v>0</v>
      </c>
      <c r="B9" s="4">
        <f>'VSV eGFP 171013 '!B9</f>
        <v>0</v>
      </c>
      <c r="C9" s="4" t="str">
        <f>'VSV eGFP 171013 '!C9</f>
        <v>#1-1</v>
      </c>
      <c r="D9" s="4">
        <f>U13</f>
        <v>2.9250000603497028E-2</v>
      </c>
      <c r="E9" s="6">
        <v>2.7100000530481339E-2</v>
      </c>
      <c r="F9" s="6">
        <v>0.67019999027252197</v>
      </c>
      <c r="G9" s="6">
        <v>1.6031999588012695</v>
      </c>
      <c r="H9" s="6">
        <v>1.6505999565124512</v>
      </c>
      <c r="I9" s="6">
        <v>2.4693999290466309</v>
      </c>
      <c r="J9" s="6">
        <v>2.5185000896453857</v>
      </c>
      <c r="K9" s="6">
        <v>2.2439999580383301</v>
      </c>
      <c r="L9" s="6">
        <v>0.92250001430511475</v>
      </c>
      <c r="M9" s="23">
        <v>1.5918999910354614</v>
      </c>
      <c r="N9" s="6">
        <v>2.7400000020861626E-2</v>
      </c>
      <c r="S9" s="35">
        <v>0.26840001344680786</v>
      </c>
      <c r="T9" s="36">
        <v>0.27129998803138733</v>
      </c>
      <c r="U9" s="6">
        <f t="shared" si="0"/>
        <v>0.2698500007390976</v>
      </c>
      <c r="V9" s="6">
        <f t="shared" si="1"/>
        <v>0.24060000013560057</v>
      </c>
      <c r="W9" s="6">
        <v>125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16" x14ac:dyDescent="0.2">
      <c r="A10" s="4">
        <f>'VSV eGFP 171013 '!A10</f>
        <v>0</v>
      </c>
      <c r="B10" s="4">
        <f>'VSV eGFP 171013 '!B10</f>
        <v>0</v>
      </c>
      <c r="C10" s="4" t="str">
        <f>'VSV eGFP 171013 '!C10</f>
        <v>#1-2</v>
      </c>
      <c r="D10" s="4"/>
      <c r="E10" s="6">
        <v>2.9100000858306885E-2</v>
      </c>
      <c r="F10" s="6">
        <v>0.64939999580383301</v>
      </c>
      <c r="G10" s="6">
        <v>1.4400999546051025</v>
      </c>
      <c r="H10" s="6">
        <v>1.5917999744415283</v>
      </c>
      <c r="I10" s="6">
        <v>2.3041000366210938</v>
      </c>
      <c r="J10" s="6">
        <v>2.3594000339508057</v>
      </c>
      <c r="K10" s="6">
        <v>2.1928000450134277</v>
      </c>
      <c r="L10" s="6">
        <v>0.85110002756118774</v>
      </c>
      <c r="M10" s="23">
        <v>1.509600043296814</v>
      </c>
      <c r="N10" s="6">
        <v>2.7300000190734863E-2</v>
      </c>
      <c r="S10" s="35">
        <v>0.13830000162124634</v>
      </c>
      <c r="T10" s="36">
        <v>0.1476999968290329</v>
      </c>
      <c r="U10" s="6">
        <f t="shared" si="0"/>
        <v>0.14299999922513962</v>
      </c>
      <c r="V10" s="6">
        <f t="shared" si="1"/>
        <v>0.11374999862164259</v>
      </c>
      <c r="W10" s="6">
        <v>62.5</v>
      </c>
      <c r="AA10" t="s">
        <v>10</v>
      </c>
      <c r="AB10"/>
      <c r="AC10"/>
      <c r="AD10"/>
      <c r="AE10" t="s">
        <v>11</v>
      </c>
      <c r="AF10"/>
      <c r="AG10"/>
      <c r="AH10"/>
      <c r="AI10"/>
      <c r="AJ10"/>
      <c r="AK10"/>
      <c r="AL10"/>
      <c r="AM10"/>
      <c r="AN10"/>
    </row>
    <row r="11" spans="1:40" ht="16" x14ac:dyDescent="0.2">
      <c r="A11" s="4">
        <f>'VSV eGFP 171013 '!A11</f>
        <v>0</v>
      </c>
      <c r="B11" s="4">
        <f>'VSV eGFP 171013 '!B11</f>
        <v>0</v>
      </c>
      <c r="C11" s="4" t="str">
        <f>'VSV eGFP 171013 '!C11</f>
        <v>Average</v>
      </c>
      <c r="D11" s="91">
        <f>AVERAGE(D9:D10)</f>
        <v>2.9250000603497028E-2</v>
      </c>
      <c r="E11" s="91">
        <f>AVERAGE(E9:E10)</f>
        <v>2.8100000694394112E-2</v>
      </c>
      <c r="F11" s="91">
        <f t="shared" ref="F11:M11" si="2">AVERAGE(F9:F10)</f>
        <v>0.65979999303817749</v>
      </c>
      <c r="G11" s="91">
        <f t="shared" si="2"/>
        <v>1.521649956703186</v>
      </c>
      <c r="H11" s="91">
        <f t="shared" si="2"/>
        <v>1.6211999654769897</v>
      </c>
      <c r="I11" s="91">
        <f t="shared" si="2"/>
        <v>2.3867499828338623</v>
      </c>
      <c r="J11" s="91">
        <f t="shared" si="2"/>
        <v>2.4389500617980957</v>
      </c>
      <c r="K11" s="91">
        <f t="shared" si="2"/>
        <v>2.2184000015258789</v>
      </c>
      <c r="L11" s="91">
        <f t="shared" si="2"/>
        <v>0.88680002093315125</v>
      </c>
      <c r="M11" s="92">
        <f t="shared" si="2"/>
        <v>1.5507500171661377</v>
      </c>
      <c r="N11" s="91">
        <f>AVERAGE(N9:N10)</f>
        <v>2.7350000105798244E-2</v>
      </c>
      <c r="S11" s="35">
        <v>7.9899996519088745E-2</v>
      </c>
      <c r="T11" s="36">
        <v>8.320000022649765E-2</v>
      </c>
      <c r="U11" s="6">
        <f t="shared" si="0"/>
        <v>8.1549998372793198E-2</v>
      </c>
      <c r="V11" s="6">
        <f t="shared" si="1"/>
        <v>5.2299997769296169E-2</v>
      </c>
      <c r="W11" s="6">
        <v>31.25</v>
      </c>
      <c r="AA11" t="s">
        <v>14</v>
      </c>
      <c r="AB11"/>
      <c r="AC11"/>
      <c r="AD11"/>
      <c r="AE11" t="s">
        <v>15</v>
      </c>
      <c r="AF11"/>
      <c r="AG11"/>
      <c r="AH11"/>
      <c r="AI11"/>
      <c r="AJ11"/>
      <c r="AK11"/>
      <c r="AL11"/>
      <c r="AM11"/>
      <c r="AN11"/>
    </row>
    <row r="12" spans="1:40" ht="16" x14ac:dyDescent="0.2">
      <c r="A12" s="4" t="str">
        <f>'VSV eGFP 171013 '!A12</f>
        <v>Background minimal and at times &gt;mock, therefore values used as is, given transformation to fold change</v>
      </c>
      <c r="B12" s="4">
        <f>'VSV eGFP 171013 '!B12</f>
        <v>0</v>
      </c>
      <c r="C12" s="4" t="str">
        <f>'VSV eGFP 171013 '!C12</f>
        <v>Average-Background</v>
      </c>
      <c r="D12" s="4"/>
      <c r="E12" s="6">
        <f t="shared" ref="E12:N12" si="3">E11-$U$13</f>
        <v>-1.1499999091029167E-3</v>
      </c>
      <c r="F12" s="6">
        <f t="shared" si="3"/>
        <v>0.63054999243468046</v>
      </c>
      <c r="G12" s="6">
        <f t="shared" si="3"/>
        <v>1.492399956099689</v>
      </c>
      <c r="H12" s="6">
        <f t="shared" si="3"/>
        <v>1.5919499648734927</v>
      </c>
      <c r="I12" s="6">
        <f t="shared" si="3"/>
        <v>2.3574999822303653</v>
      </c>
      <c r="J12" s="6">
        <f t="shared" si="3"/>
        <v>2.4097000611945987</v>
      </c>
      <c r="K12" s="6">
        <f t="shared" si="3"/>
        <v>2.1891500009223819</v>
      </c>
      <c r="L12" s="6">
        <f t="shared" si="3"/>
        <v>0.85755002032965422</v>
      </c>
      <c r="M12" s="23">
        <f t="shared" si="3"/>
        <v>1.5215000165626407</v>
      </c>
      <c r="N12" s="6">
        <f t="shared" si="3"/>
        <v>-1.9000004976987839E-3</v>
      </c>
      <c r="S12" s="35">
        <v>5.6000001728534698E-2</v>
      </c>
      <c r="T12" s="36">
        <v>6.0400001704692841E-2</v>
      </c>
      <c r="U12" s="6">
        <f t="shared" si="0"/>
        <v>5.820000171661377E-2</v>
      </c>
      <c r="V12" s="6">
        <f t="shared" si="1"/>
        <v>2.8950001113116741E-2</v>
      </c>
      <c r="W12" s="6">
        <v>15.625</v>
      </c>
      <c r="AA12" t="s">
        <v>17</v>
      </c>
      <c r="AB12"/>
      <c r="AC12"/>
      <c r="AD12"/>
      <c r="AE12" t="s">
        <v>191</v>
      </c>
      <c r="AF12"/>
      <c r="AG12"/>
      <c r="AH12"/>
      <c r="AI12"/>
      <c r="AJ12"/>
      <c r="AK12"/>
      <c r="AL12"/>
      <c r="AM12"/>
      <c r="AN12"/>
    </row>
    <row r="13" spans="1:40" ht="16" x14ac:dyDescent="0.2">
      <c r="A13" s="4" t="str">
        <f>'VSV eGFP 171013 '!A13</f>
        <v>Therefore overall</v>
      </c>
      <c r="B13" s="4">
        <f>'VSV eGFP 171013 '!B13</f>
        <v>0</v>
      </c>
      <c r="C13" s="24" t="s">
        <v>88</v>
      </c>
      <c r="D13" s="3">
        <f>D11*461.14</f>
        <v>13.488345278296618</v>
      </c>
      <c r="E13" s="3">
        <f t="shared" ref="E13:N13" si="4">E11*461.14</f>
        <v>12.958034320212901</v>
      </c>
      <c r="F13" s="3">
        <f t="shared" si="4"/>
        <v>304.26016878962514</v>
      </c>
      <c r="G13" s="3">
        <f t="shared" si="4"/>
        <v>701.69366103410721</v>
      </c>
      <c r="H13" s="3">
        <f t="shared" si="4"/>
        <v>747.60015208005905</v>
      </c>
      <c r="I13" s="3">
        <f t="shared" si="4"/>
        <v>1100.6258870840072</v>
      </c>
      <c r="J13" s="3">
        <f t="shared" si="4"/>
        <v>1124.6974314975739</v>
      </c>
      <c r="K13" s="3">
        <f t="shared" si="4"/>
        <v>1022.9929767036438</v>
      </c>
      <c r="L13" s="3">
        <f t="shared" si="4"/>
        <v>408.93896165311338</v>
      </c>
      <c r="M13" s="3">
        <f t="shared" si="4"/>
        <v>715.11286291599276</v>
      </c>
      <c r="N13" s="3">
        <f t="shared" si="4"/>
        <v>12.612179048787802</v>
      </c>
      <c r="S13" s="32">
        <v>2.8100000694394112E-2</v>
      </c>
      <c r="T13" s="34">
        <v>3.0400000512599945E-2</v>
      </c>
      <c r="U13" s="3">
        <f t="shared" si="0"/>
        <v>2.9250000603497028E-2</v>
      </c>
      <c r="V13" s="6">
        <f t="shared" si="1"/>
        <v>0</v>
      </c>
      <c r="W13" s="6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6" x14ac:dyDescent="0.2">
      <c r="A14" s="4">
        <f>'VSV eGFP 171013 '!A14</f>
        <v>0</v>
      </c>
      <c r="B14" s="4">
        <f>'VSV eGFP 171013 '!B14</f>
        <v>0</v>
      </c>
      <c r="C14" s="24" t="s">
        <v>89</v>
      </c>
      <c r="D14" s="3">
        <f>D13</f>
        <v>13.488345278296618</v>
      </c>
      <c r="E14" s="3">
        <f>E13*E8</f>
        <v>427.61513256702574</v>
      </c>
      <c r="F14" s="3">
        <f t="shared" ref="F14:N14" si="5">F13*F8</f>
        <v>10040.58557005763</v>
      </c>
      <c r="G14" s="3">
        <f t="shared" si="5"/>
        <v>23155.890814125538</v>
      </c>
      <c r="H14" s="3">
        <f t="shared" si="5"/>
        <v>24670.80501864195</v>
      </c>
      <c r="I14" s="3">
        <f t="shared" si="5"/>
        <v>36320.654273772241</v>
      </c>
      <c r="J14" s="3">
        <f t="shared" si="5"/>
        <v>37115.015239419939</v>
      </c>
      <c r="K14" s="3">
        <f t="shared" si="5"/>
        <v>33758.768231220245</v>
      </c>
      <c r="L14" s="3">
        <f t="shared" si="5"/>
        <v>13494.985734552742</v>
      </c>
      <c r="M14" s="3">
        <f t="shared" si="5"/>
        <v>23598.724476227762</v>
      </c>
      <c r="N14" s="3">
        <f t="shared" si="5"/>
        <v>416.20190860999747</v>
      </c>
      <c r="AA14" t="s">
        <v>276</v>
      </c>
      <c r="AB14"/>
      <c r="AC14"/>
      <c r="AD14"/>
      <c r="AE14">
        <v>1</v>
      </c>
      <c r="AF14" t="s">
        <v>277</v>
      </c>
      <c r="AG14"/>
      <c r="AH14"/>
      <c r="AI14"/>
      <c r="AJ14"/>
      <c r="AK14"/>
      <c r="AL14"/>
      <c r="AM14"/>
      <c r="AN14"/>
    </row>
    <row r="15" spans="1:40" ht="16" x14ac:dyDescent="0.2">
      <c r="A15" s="4">
        <f>'VSV eGFP 171013 '!A15</f>
        <v>0</v>
      </c>
      <c r="B15" s="4">
        <f>'VSV eGFP 171013 '!B15</f>
        <v>0</v>
      </c>
      <c r="AA15" t="s">
        <v>278</v>
      </c>
      <c r="AB15"/>
      <c r="AC15"/>
      <c r="AD15"/>
      <c r="AE15">
        <v>1</v>
      </c>
      <c r="AF15" t="s">
        <v>279</v>
      </c>
      <c r="AG15"/>
      <c r="AH15"/>
      <c r="AI15"/>
      <c r="AJ15"/>
      <c r="AK15"/>
      <c r="AL15"/>
      <c r="AM15"/>
      <c r="AN15"/>
    </row>
    <row r="16" spans="1:40" ht="16" x14ac:dyDescent="0.2">
      <c r="A16" s="4">
        <f>'VSV eGFP 171013 '!A16</f>
        <v>0</v>
      </c>
      <c r="B16" s="4">
        <f>'VSV eGFP 171013 '!B16</f>
        <v>0</v>
      </c>
      <c r="C16" s="4" t="str">
        <f>'VSV eGFP 171013 '!C16</f>
        <v>#2-1</v>
      </c>
      <c r="D16" s="4"/>
      <c r="E16" s="6">
        <v>2.9400000348687172E-2</v>
      </c>
      <c r="F16" s="6">
        <v>0.96630001068115234</v>
      </c>
      <c r="G16" s="6">
        <v>1.8057999610900879</v>
      </c>
      <c r="H16" s="6">
        <v>1.8263000249862671</v>
      </c>
      <c r="I16" s="6">
        <v>1.8463000059127808</v>
      </c>
      <c r="J16" s="6">
        <v>2.0657000541687012</v>
      </c>
      <c r="K16" s="6">
        <v>1.5703999996185303</v>
      </c>
      <c r="L16" s="6">
        <v>1.1168999671936035</v>
      </c>
      <c r="M16" s="23">
        <v>1.9668999910354614</v>
      </c>
      <c r="N16" s="6">
        <v>2.5499999523162842E-2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6" x14ac:dyDescent="0.2">
      <c r="A17" s="4">
        <f>'VSV eGFP 171013 '!A17</f>
        <v>0</v>
      </c>
      <c r="B17" s="4">
        <f>'VSV eGFP 171013 '!B17</f>
        <v>0</v>
      </c>
      <c r="C17" s="4" t="str">
        <f>'VSV eGFP 171013 '!C17</f>
        <v>#2-2</v>
      </c>
      <c r="D17" s="4"/>
      <c r="E17" s="6">
        <v>2.8899999335408211E-2</v>
      </c>
      <c r="F17" s="6">
        <v>0.93010002374649048</v>
      </c>
      <c r="G17" s="6">
        <v>1.6998000144958496</v>
      </c>
      <c r="H17" s="6">
        <v>1.7059999704360962</v>
      </c>
      <c r="I17" s="6">
        <v>1.6426999568939209</v>
      </c>
      <c r="J17" s="6">
        <v>2.0462000370025635</v>
      </c>
      <c r="K17" s="6">
        <v>1.5607999563217163</v>
      </c>
      <c r="L17" s="6">
        <v>1.0611000061035156</v>
      </c>
      <c r="M17" s="23">
        <v>1.8335000276565552</v>
      </c>
      <c r="N17" s="6">
        <v>2.4700000882148743E-2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16" x14ac:dyDescent="0.2">
      <c r="A18" s="4">
        <f>'VSV eGFP 171013 '!A18</f>
        <v>0</v>
      </c>
      <c r="B18" s="4">
        <f>'VSV eGFP 171013 '!B18</f>
        <v>0</v>
      </c>
      <c r="C18" s="24" t="s">
        <v>12</v>
      </c>
      <c r="D18" s="90"/>
      <c r="E18" s="91">
        <f>AVERAGE(E16:E17)</f>
        <v>2.9149999842047691E-2</v>
      </c>
      <c r="F18" s="91">
        <f t="shared" ref="F18:M18" si="6">AVERAGE(F16:F17)</f>
        <v>0.94820001721382141</v>
      </c>
      <c r="G18" s="91">
        <f t="shared" si="6"/>
        <v>1.7527999877929688</v>
      </c>
      <c r="H18" s="91">
        <f t="shared" si="6"/>
        <v>1.7661499977111816</v>
      </c>
      <c r="I18" s="91">
        <f t="shared" si="6"/>
        <v>1.7444999814033508</v>
      </c>
      <c r="J18" s="91">
        <f t="shared" si="6"/>
        <v>2.0559500455856323</v>
      </c>
      <c r="K18" s="91">
        <f t="shared" si="6"/>
        <v>1.5655999779701233</v>
      </c>
      <c r="L18" s="91">
        <f t="shared" si="6"/>
        <v>1.0889999866485596</v>
      </c>
      <c r="M18" s="92">
        <f t="shared" si="6"/>
        <v>1.9002000093460083</v>
      </c>
      <c r="N18" s="91">
        <f>AVERAGE(N16:N17)</f>
        <v>2.5100000202655792E-2</v>
      </c>
      <c r="AA18" t="s">
        <v>192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16" x14ac:dyDescent="0.2">
      <c r="A19" s="4">
        <f>'VSV eGFP 171013 '!A19</f>
        <v>0</v>
      </c>
      <c r="B19" s="4">
        <f>'VSV eGFP 171013 '!B19</f>
        <v>0</v>
      </c>
      <c r="C19" s="88" t="s">
        <v>16</v>
      </c>
      <c r="D19" s="87"/>
      <c r="E19" s="3">
        <f t="shared" ref="E19:N19" si="7">E17-$U$13</f>
        <v>-3.500012680888176E-4</v>
      </c>
      <c r="F19" s="3">
        <f t="shared" si="7"/>
        <v>0.90085002314299345</v>
      </c>
      <c r="G19" s="3">
        <f t="shared" si="7"/>
        <v>1.6705500138923526</v>
      </c>
      <c r="H19" s="3">
        <f t="shared" si="7"/>
        <v>1.6767499698325992</v>
      </c>
      <c r="I19" s="3">
        <f t="shared" si="7"/>
        <v>1.6134499562904239</v>
      </c>
      <c r="J19" s="3">
        <f t="shared" si="7"/>
        <v>2.0169500363990664</v>
      </c>
      <c r="K19" s="3">
        <f t="shared" si="7"/>
        <v>1.5315499557182193</v>
      </c>
      <c r="L19" s="3">
        <f t="shared" si="7"/>
        <v>1.0318500055000186</v>
      </c>
      <c r="M19" s="52">
        <f t="shared" si="7"/>
        <v>1.8042500270530581</v>
      </c>
      <c r="N19" s="3">
        <f t="shared" si="7"/>
        <v>-4.5499997213482857E-3</v>
      </c>
      <c r="AA19" t="s">
        <v>21</v>
      </c>
      <c r="AB19"/>
      <c r="AC19"/>
      <c r="AD19"/>
      <c r="AE19" t="s">
        <v>22</v>
      </c>
      <c r="AF19"/>
      <c r="AG19"/>
      <c r="AH19"/>
      <c r="AI19"/>
      <c r="AJ19"/>
      <c r="AK19"/>
      <c r="AL19"/>
      <c r="AM19"/>
      <c r="AN19"/>
    </row>
    <row r="20" spans="1:40" ht="16" x14ac:dyDescent="0.2">
      <c r="A20" s="4">
        <f>'VSV eGFP 171013 '!A20</f>
        <v>0</v>
      </c>
      <c r="B20" s="4">
        <f>'VSV eGFP 171013 '!B20</f>
        <v>0</v>
      </c>
      <c r="C20" s="24" t="s">
        <v>88</v>
      </c>
      <c r="D20" s="87"/>
      <c r="E20" s="6">
        <f>E18*461.14</f>
        <v>13.442230927161871</v>
      </c>
      <c r="F20" s="6">
        <f t="shared" ref="F20:M20" si="8">F18*461.14</f>
        <v>437.2529559379816</v>
      </c>
      <c r="G20" s="6">
        <f t="shared" si="8"/>
        <v>808.28618637084958</v>
      </c>
      <c r="H20" s="6">
        <f t="shared" si="8"/>
        <v>814.44240994453423</v>
      </c>
      <c r="I20" s="6">
        <f t="shared" si="8"/>
        <v>804.45872142434121</v>
      </c>
      <c r="J20" s="6">
        <f t="shared" si="8"/>
        <v>948.08080402135852</v>
      </c>
      <c r="K20" s="6">
        <f t="shared" si="8"/>
        <v>721.96077384114267</v>
      </c>
      <c r="L20" s="6">
        <f t="shared" si="8"/>
        <v>502.18145384311674</v>
      </c>
      <c r="M20" s="6">
        <f t="shared" si="8"/>
        <v>876.25823230981825</v>
      </c>
      <c r="N20" s="6">
        <f t="shared" ref="N20" si="9">N18*461.14</f>
        <v>11.574614093452691</v>
      </c>
      <c r="AA20" t="s">
        <v>23</v>
      </c>
      <c r="AB20"/>
      <c r="AC20"/>
      <c r="AD20"/>
      <c r="AE20">
        <v>450</v>
      </c>
      <c r="AF20" t="s">
        <v>24</v>
      </c>
      <c r="AG20"/>
      <c r="AH20"/>
      <c r="AI20"/>
      <c r="AJ20"/>
      <c r="AK20"/>
      <c r="AL20"/>
      <c r="AM20"/>
      <c r="AN20"/>
    </row>
    <row r="21" spans="1:40" ht="16" x14ac:dyDescent="0.2">
      <c r="A21" s="4">
        <f>'VSV eGFP 171013 '!A21</f>
        <v>0</v>
      </c>
      <c r="B21" s="4">
        <f>'VSV eGFP 171013 '!B21</f>
        <v>0</v>
      </c>
      <c r="C21" s="24" t="s">
        <v>89</v>
      </c>
      <c r="D21" s="87"/>
      <c r="E21" s="3">
        <f>E20*E8</f>
        <v>443.59362059634174</v>
      </c>
      <c r="F21" s="3">
        <f t="shared" ref="F21:N21" si="10">F20*F8</f>
        <v>14429.347545953393</v>
      </c>
      <c r="G21" s="3">
        <f t="shared" si="10"/>
        <v>26673.444150238036</v>
      </c>
      <c r="H21" s="3">
        <f t="shared" si="10"/>
        <v>26876.599528169631</v>
      </c>
      <c r="I21" s="3">
        <f t="shared" si="10"/>
        <v>26547.137807003259</v>
      </c>
      <c r="J21" s="3">
        <f t="shared" si="10"/>
        <v>31286.666532704832</v>
      </c>
      <c r="K21" s="3">
        <f t="shared" si="10"/>
        <v>23824.705536757709</v>
      </c>
      <c r="L21" s="3">
        <f t="shared" si="10"/>
        <v>16571.987976822853</v>
      </c>
      <c r="M21" s="3">
        <f t="shared" si="10"/>
        <v>28916.521666224002</v>
      </c>
      <c r="N21" s="3">
        <f t="shared" si="10"/>
        <v>381.9622650839388</v>
      </c>
      <c r="AA21" t="s">
        <v>25</v>
      </c>
      <c r="AB21"/>
      <c r="AC21"/>
      <c r="AD21"/>
      <c r="AE21">
        <v>10</v>
      </c>
      <c r="AF21" t="s">
        <v>24</v>
      </c>
      <c r="AG21"/>
      <c r="AH21"/>
      <c r="AI21"/>
      <c r="AJ21"/>
      <c r="AK21"/>
      <c r="AL21"/>
      <c r="AM21"/>
      <c r="AN21"/>
    </row>
    <row r="22" spans="1:40" ht="16" x14ac:dyDescent="0.2">
      <c r="A22" s="4">
        <f>'VSV eGFP 171013 '!A22</f>
        <v>0</v>
      </c>
      <c r="B22" s="4">
        <f>'VSV eGFP 171013 '!B22</f>
        <v>0</v>
      </c>
      <c r="AA22" t="s">
        <v>26</v>
      </c>
      <c r="AB22"/>
      <c r="AC22"/>
      <c r="AD22"/>
      <c r="AE22">
        <v>570</v>
      </c>
      <c r="AF22" t="s">
        <v>24</v>
      </c>
      <c r="AG22"/>
      <c r="AH22"/>
      <c r="AI22"/>
      <c r="AJ22"/>
      <c r="AK22"/>
      <c r="AL22"/>
      <c r="AM22"/>
      <c r="AN22"/>
    </row>
    <row r="23" spans="1:40" ht="17" thickBot="1" x14ac:dyDescent="0.25">
      <c r="A23" s="4">
        <f>'VSV eGFP 171013 '!A23</f>
        <v>0</v>
      </c>
      <c r="B23" s="4">
        <f>'VSV eGFP 171013 '!B23</f>
        <v>0</v>
      </c>
      <c r="C23" s="58"/>
      <c r="D23" s="89"/>
      <c r="E23" s="68"/>
      <c r="F23" s="68"/>
      <c r="G23" s="68"/>
      <c r="H23" s="68"/>
      <c r="I23" s="68"/>
      <c r="J23" s="68"/>
      <c r="K23" s="68"/>
      <c r="L23" s="68"/>
      <c r="M23" s="69"/>
      <c r="N23" s="68"/>
      <c r="AA23" t="s">
        <v>25</v>
      </c>
      <c r="AB23"/>
      <c r="AC23"/>
      <c r="AD23"/>
      <c r="AE23">
        <v>10</v>
      </c>
      <c r="AF23" t="s">
        <v>24</v>
      </c>
      <c r="AG23"/>
      <c r="AH23"/>
      <c r="AI23"/>
      <c r="AJ23"/>
      <c r="AK23"/>
      <c r="AL23"/>
      <c r="AM23"/>
      <c r="AN23"/>
    </row>
    <row r="24" spans="1:40" ht="16" x14ac:dyDescent="0.2">
      <c r="A24" s="4">
        <f>'VSV eGFP 171013 '!A24</f>
        <v>0</v>
      </c>
      <c r="B24" s="4">
        <f>'VSV eGFP 171013 '!B24</f>
        <v>0</v>
      </c>
      <c r="C24" s="58"/>
      <c r="D24" s="58">
        <f>D11*33</f>
        <v>0.96525001991540194</v>
      </c>
      <c r="E24" s="58">
        <f>E11*33</f>
        <v>0.92730002291500568</v>
      </c>
      <c r="F24" s="58">
        <f t="shared" ref="F24:N24" si="11">F11*33</f>
        <v>21.773399770259857</v>
      </c>
      <c r="G24" s="58">
        <f t="shared" si="11"/>
        <v>50.214448571205139</v>
      </c>
      <c r="H24" s="58">
        <f t="shared" si="11"/>
        <v>53.499598860740662</v>
      </c>
      <c r="I24" s="58">
        <f t="shared" si="11"/>
        <v>78.762749433517456</v>
      </c>
      <c r="J24" s="58">
        <f t="shared" si="11"/>
        <v>80.485352039337158</v>
      </c>
      <c r="K24" s="58">
        <f t="shared" si="11"/>
        <v>73.207200050354004</v>
      </c>
      <c r="L24" s="58">
        <f t="shared" si="11"/>
        <v>29.264400690793991</v>
      </c>
      <c r="M24" s="58">
        <f t="shared" si="11"/>
        <v>51.174750566482544</v>
      </c>
      <c r="N24" s="58">
        <f t="shared" si="11"/>
        <v>0.90255000349134207</v>
      </c>
      <c r="AA24" t="s">
        <v>28</v>
      </c>
      <c r="AB24"/>
      <c r="AC24"/>
      <c r="AD24"/>
      <c r="AE24">
        <v>25</v>
      </c>
      <c r="AF24"/>
      <c r="AG24"/>
      <c r="AH24"/>
      <c r="AI24"/>
      <c r="AJ24"/>
      <c r="AK24"/>
      <c r="AL24"/>
      <c r="AM24"/>
      <c r="AN24"/>
    </row>
    <row r="25" spans="1:40" ht="16" x14ac:dyDescent="0.2">
      <c r="A25" s="4">
        <f>'VSV eGFP 171013 '!A25</f>
        <v>0</v>
      </c>
      <c r="B25" s="4">
        <f>'VSV eGFP 171013 '!B25</f>
        <v>0</v>
      </c>
      <c r="D25" s="6">
        <f>D18*33</f>
        <v>0</v>
      </c>
      <c r="E25" s="6">
        <f>E18*33</f>
        <v>0.96194999478757381</v>
      </c>
      <c r="F25" s="6">
        <f t="shared" ref="F25:N25" si="12">F18*33</f>
        <v>31.290600568056107</v>
      </c>
      <c r="G25" s="6">
        <f t="shared" si="12"/>
        <v>57.842399597167969</v>
      </c>
      <c r="H25" s="6">
        <f t="shared" si="12"/>
        <v>58.282949924468994</v>
      </c>
      <c r="I25" s="6">
        <f t="shared" si="12"/>
        <v>57.568499386310577</v>
      </c>
      <c r="J25" s="6">
        <f t="shared" si="12"/>
        <v>67.846351504325867</v>
      </c>
      <c r="K25" s="6">
        <f t="shared" si="12"/>
        <v>51.664799273014069</v>
      </c>
      <c r="L25" s="6">
        <f t="shared" si="12"/>
        <v>35.936999559402466</v>
      </c>
      <c r="M25" s="6">
        <f t="shared" si="12"/>
        <v>62.706600308418274</v>
      </c>
      <c r="N25" s="6">
        <f t="shared" si="12"/>
        <v>0.82830000668764114</v>
      </c>
      <c r="AA25" t="s">
        <v>30</v>
      </c>
      <c r="AB25"/>
      <c r="AC25"/>
      <c r="AD25"/>
      <c r="AE25">
        <v>0</v>
      </c>
      <c r="AF25" t="s">
        <v>31</v>
      </c>
      <c r="AG25"/>
      <c r="AH25"/>
      <c r="AI25"/>
      <c r="AJ25"/>
      <c r="AK25"/>
      <c r="AL25"/>
      <c r="AM25"/>
      <c r="AN25"/>
    </row>
    <row r="26" spans="1:40" ht="16" x14ac:dyDescent="0.2">
      <c r="A26" s="4">
        <f>'VSV eGFP 171013 '!A26</f>
        <v>0</v>
      </c>
      <c r="B26" s="4">
        <f>'VSV eGFP 171013 '!B26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AA26" t="s">
        <v>32</v>
      </c>
      <c r="AB26" s="95">
        <v>43221.714432870373</v>
      </c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6" x14ac:dyDescent="0.2">
      <c r="A27" s="4">
        <f>'VSV eGFP 171013 '!A27</f>
        <v>0</v>
      </c>
      <c r="B27" s="4">
        <f>'VSV eGFP 171013 '!B27</f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6" x14ac:dyDescent="0.2">
      <c r="A28" s="4">
        <f>'VSV eGFP 171013 '!A28</f>
        <v>0</v>
      </c>
      <c r="B28" s="4">
        <f>'VSV eGFP 171013 '!B28</f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AA28"/>
      <c r="AB28" t="s">
        <v>284</v>
      </c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6" x14ac:dyDescent="0.2">
      <c r="A29" s="4">
        <f>'VSV eGFP 171013 '!A29</f>
        <v>0</v>
      </c>
      <c r="B29" s="4">
        <f>'VSV eGFP 171013 '!B29</f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AA29" t="s">
        <v>35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6" x14ac:dyDescent="0.2">
      <c r="A30" s="4">
        <f>'VSV eGFP 171013 '!A30</f>
        <v>0</v>
      </c>
      <c r="B30" s="4">
        <f>'VSV eGFP 171013 '!B30</f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AA30" t="s">
        <v>37</v>
      </c>
      <c r="AB30">
        <v>1</v>
      </c>
      <c r="AC30">
        <v>2</v>
      </c>
      <c r="AD30">
        <v>3</v>
      </c>
      <c r="AE30">
        <v>4</v>
      </c>
      <c r="AF30">
        <v>5</v>
      </c>
      <c r="AG30">
        <v>6</v>
      </c>
      <c r="AH30">
        <v>7</v>
      </c>
      <c r="AI30">
        <v>8</v>
      </c>
      <c r="AJ30">
        <v>9</v>
      </c>
      <c r="AK30">
        <v>10</v>
      </c>
      <c r="AL30">
        <v>11</v>
      </c>
      <c r="AM30">
        <v>12</v>
      </c>
      <c r="AN30"/>
    </row>
    <row r="31" spans="1:40" ht="16" x14ac:dyDescent="0.2">
      <c r="A31" s="4">
        <f>'VSV eGFP 171013 '!A31</f>
        <v>0</v>
      </c>
      <c r="AA31" t="s">
        <v>39</v>
      </c>
      <c r="AB31">
        <v>6.5500000000000003E-2</v>
      </c>
      <c r="AC31">
        <v>0.71089999999999998</v>
      </c>
      <c r="AD31">
        <v>1.6468</v>
      </c>
      <c r="AE31">
        <v>1.6948000000000001</v>
      </c>
      <c r="AF31">
        <v>2.5156000000000001</v>
      </c>
      <c r="AG31">
        <v>2.5653000000000001</v>
      </c>
      <c r="AH31">
        <v>6.6600000000000006E-2</v>
      </c>
      <c r="AI31">
        <v>2.2906</v>
      </c>
      <c r="AJ31">
        <v>0.96499999999999997</v>
      </c>
      <c r="AK31">
        <v>1.6356999999999999</v>
      </c>
      <c r="AL31">
        <v>2.2307999999999999</v>
      </c>
      <c r="AM31">
        <v>2.3546</v>
      </c>
      <c r="AN31"/>
    </row>
    <row r="32" spans="1:40" ht="16" x14ac:dyDescent="0.2">
      <c r="A32" s="4">
        <f>'VSV eGFP 171013 '!A32</f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AA32" t="s">
        <v>40</v>
      </c>
      <c r="AB32">
        <v>6.8699999999999997E-2</v>
      </c>
      <c r="AC32">
        <v>0.69310000000000005</v>
      </c>
      <c r="AD32">
        <v>1.4831000000000001</v>
      </c>
      <c r="AE32">
        <v>1.6355</v>
      </c>
      <c r="AF32">
        <v>2.3525</v>
      </c>
      <c r="AG32">
        <v>2.4072</v>
      </c>
      <c r="AH32">
        <v>6.6600000000000006E-2</v>
      </c>
      <c r="AI32">
        <v>2.2370999999999999</v>
      </c>
      <c r="AJ32">
        <v>0.89170000000000005</v>
      </c>
      <c r="AK32">
        <v>1.5530999999999999</v>
      </c>
      <c r="AL32">
        <v>1.0732999999999999</v>
      </c>
      <c r="AM32">
        <v>1.0837000000000001</v>
      </c>
      <c r="AN32"/>
    </row>
    <row r="33" spans="1:40" ht="16" x14ac:dyDescent="0.2">
      <c r="A33" s="4">
        <f>'VSV eGFP 171013 '!A33</f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AA33" t="s">
        <v>41</v>
      </c>
      <c r="AB33">
        <v>6.9800000000000001E-2</v>
      </c>
      <c r="AC33">
        <v>1.0071000000000001</v>
      </c>
      <c r="AD33">
        <v>1.849</v>
      </c>
      <c r="AE33">
        <v>1.8696999999999999</v>
      </c>
      <c r="AF33">
        <v>1.8900999999999999</v>
      </c>
      <c r="AG33">
        <v>2.1101999999999999</v>
      </c>
      <c r="AH33">
        <v>6.3E-2</v>
      </c>
      <c r="AI33">
        <v>1.6129</v>
      </c>
      <c r="AJ33">
        <v>1.1580999999999999</v>
      </c>
      <c r="AK33">
        <v>2.0106999999999999</v>
      </c>
      <c r="AL33">
        <v>0.57530000000000003</v>
      </c>
      <c r="AM33">
        <v>0.57299999999999995</v>
      </c>
      <c r="AN33"/>
    </row>
    <row r="34" spans="1:40" ht="16" x14ac:dyDescent="0.2">
      <c r="A34" s="4">
        <f>'VSV eGFP 171013 '!A34</f>
        <v>0</v>
      </c>
      <c r="AA34" t="s">
        <v>42</v>
      </c>
      <c r="AB34">
        <v>6.9699999999999998E-2</v>
      </c>
      <c r="AC34">
        <v>0.97189999999999999</v>
      </c>
      <c r="AD34">
        <v>1.7424999999999999</v>
      </c>
      <c r="AE34">
        <v>1.7484</v>
      </c>
      <c r="AF34">
        <v>1.6860999999999999</v>
      </c>
      <c r="AG34">
        <v>2.0893000000000002</v>
      </c>
      <c r="AH34">
        <v>6.25E-2</v>
      </c>
      <c r="AI34">
        <v>1.6028</v>
      </c>
      <c r="AJ34">
        <v>1.1013999999999999</v>
      </c>
      <c r="AK34">
        <v>1.877</v>
      </c>
      <c r="AL34">
        <v>0.30790000000000001</v>
      </c>
      <c r="AM34">
        <v>0.31490000000000001</v>
      </c>
      <c r="AN34"/>
    </row>
    <row r="35" spans="1:40" ht="16" x14ac:dyDescent="0.2">
      <c r="A35" s="4">
        <f>'VSV eGFP 171013 '!A35</f>
        <v>0</v>
      </c>
      <c r="AA35" t="s">
        <v>43</v>
      </c>
      <c r="AB35">
        <v>7.1099999999999997E-2</v>
      </c>
      <c r="AC35">
        <v>0.1666</v>
      </c>
      <c r="AD35">
        <v>0.30099999999999999</v>
      </c>
      <c r="AE35">
        <v>0.29670000000000002</v>
      </c>
      <c r="AF35">
        <v>0.39929999999999999</v>
      </c>
      <c r="AG35">
        <v>0.39379999999999998</v>
      </c>
      <c r="AH35">
        <v>6.9000000000000006E-2</v>
      </c>
      <c r="AI35">
        <v>0.39539999999999997</v>
      </c>
      <c r="AJ35">
        <v>0.19969999999999999</v>
      </c>
      <c r="AK35">
        <v>0.31569999999999998</v>
      </c>
      <c r="AL35">
        <v>0.1774</v>
      </c>
      <c r="AM35">
        <v>0.18679999999999999</v>
      </c>
      <c r="AN35"/>
    </row>
    <row r="36" spans="1:40" ht="16" x14ac:dyDescent="0.2">
      <c r="A36" s="4">
        <f>'VSV eGFP 171013 '!A36</f>
        <v>0</v>
      </c>
      <c r="AA36" t="s">
        <v>44</v>
      </c>
      <c r="AB36">
        <v>7.0199999999999999E-2</v>
      </c>
      <c r="AC36">
        <v>0.1608</v>
      </c>
      <c r="AD36">
        <v>0.2681</v>
      </c>
      <c r="AE36">
        <v>0.28170000000000001</v>
      </c>
      <c r="AF36">
        <v>0.36230000000000001</v>
      </c>
      <c r="AG36">
        <v>0.55640000000000001</v>
      </c>
      <c r="AH36">
        <v>6.9099999999999995E-2</v>
      </c>
      <c r="AI36">
        <v>0.38650000000000001</v>
      </c>
      <c r="AJ36">
        <v>0.1971</v>
      </c>
      <c r="AK36">
        <v>0.29730000000000001</v>
      </c>
      <c r="AL36">
        <v>0.1201</v>
      </c>
      <c r="AM36">
        <v>0.12429999999999999</v>
      </c>
      <c r="AN36"/>
    </row>
    <row r="37" spans="1:40" ht="16" x14ac:dyDescent="0.2">
      <c r="A37" s="4" t="str">
        <f>'VSV eGFP 171013 '!A37</f>
        <v>SUMMARY</v>
      </c>
      <c r="B37" s="4">
        <f>'VSV eGFP 171013 '!B37</f>
        <v>0</v>
      </c>
      <c r="C37" s="4">
        <f>'VSV eGFP 171013 '!C37</f>
        <v>0</v>
      </c>
      <c r="D37" s="4"/>
      <c r="AA37" t="s">
        <v>45</v>
      </c>
      <c r="AB37">
        <v>6.8199999999999997E-2</v>
      </c>
      <c r="AC37">
        <v>0.2029</v>
      </c>
      <c r="AD37">
        <v>0.29849999999999999</v>
      </c>
      <c r="AE37">
        <v>0.31440000000000001</v>
      </c>
      <c r="AF37">
        <v>0.32540000000000002</v>
      </c>
      <c r="AG37">
        <v>0.36209999999999998</v>
      </c>
      <c r="AH37">
        <v>6.9500000000000006E-2</v>
      </c>
      <c r="AI37">
        <v>0.2883</v>
      </c>
      <c r="AJ37">
        <v>0.22040000000000001</v>
      </c>
      <c r="AK37">
        <v>0.31830000000000003</v>
      </c>
      <c r="AL37">
        <v>9.7100000000000006E-2</v>
      </c>
      <c r="AM37">
        <v>9.9099999999999994E-2</v>
      </c>
      <c r="AN37"/>
    </row>
    <row r="38" spans="1:40" ht="16" x14ac:dyDescent="0.2">
      <c r="A38" s="4">
        <f>'VSV eGFP 171013 '!A38</f>
        <v>0</v>
      </c>
      <c r="B38" s="4">
        <f>'VSV eGFP 171013 '!B38</f>
        <v>0</v>
      </c>
      <c r="C38" s="4">
        <f>'VSV eGFP 171013 '!C38</f>
        <v>0</v>
      </c>
      <c r="D38" s="4"/>
      <c r="AA38" t="s">
        <v>46</v>
      </c>
      <c r="AB38">
        <v>7.0999999999999994E-2</v>
      </c>
      <c r="AC38">
        <v>0.2132</v>
      </c>
      <c r="AD38">
        <v>0.3095</v>
      </c>
      <c r="AE38">
        <v>0.30769999999999997</v>
      </c>
      <c r="AF38">
        <v>0.31490000000000001</v>
      </c>
      <c r="AG38">
        <v>0.38150000000000001</v>
      </c>
      <c r="AH38">
        <v>7.4399999999999994E-2</v>
      </c>
      <c r="AI38">
        <v>0.2928</v>
      </c>
      <c r="AJ38">
        <v>0.22720000000000001</v>
      </c>
      <c r="AK38">
        <v>0.3261</v>
      </c>
      <c r="AL38">
        <v>6.7100000000000007E-2</v>
      </c>
      <c r="AM38">
        <v>6.9500000000000006E-2</v>
      </c>
      <c r="AN38"/>
    </row>
    <row r="39" spans="1:40" ht="16" x14ac:dyDescent="0.2">
      <c r="A39" s="4" t="str">
        <f>'VSV eGFP 171013 '!A39</f>
        <v>rearranged and -*1.1 for NP40 (removal from PC3 prior to ELISA)</v>
      </c>
      <c r="B39" s="4">
        <f>'VSV eGFP 171013 '!B39</f>
        <v>0</v>
      </c>
      <c r="C39" s="47" t="s">
        <v>90</v>
      </c>
      <c r="D39" s="17">
        <f>D14*1.1</f>
        <v>14.837179806126281</v>
      </c>
      <c r="E39" s="17">
        <f>E14*1.1</f>
        <v>470.37664582372832</v>
      </c>
      <c r="F39" s="17">
        <f t="shared" ref="F39:N39" si="13">F14*1.1</f>
        <v>11044.644127063395</v>
      </c>
      <c r="G39" s="17">
        <f t="shared" si="13"/>
        <v>25471.479895538094</v>
      </c>
      <c r="H39" s="17">
        <f t="shared" si="13"/>
        <v>27137.885520506148</v>
      </c>
      <c r="I39" s="17">
        <f t="shared" si="13"/>
        <v>39952.719701149472</v>
      </c>
      <c r="J39" s="17">
        <f t="shared" si="13"/>
        <v>40826.516763361935</v>
      </c>
      <c r="K39" s="17">
        <f t="shared" si="13"/>
        <v>37134.645054342276</v>
      </c>
      <c r="L39" s="17">
        <f t="shared" si="13"/>
        <v>14844.484308008017</v>
      </c>
      <c r="M39" s="17">
        <f t="shared" si="13"/>
        <v>25958.596923850542</v>
      </c>
      <c r="N39" s="17">
        <f t="shared" si="13"/>
        <v>457.82209947099727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7" thickBot="1" x14ac:dyDescent="0.25">
      <c r="A40" s="4">
        <f>'VSV eGFP 171013 '!A40</f>
        <v>0</v>
      </c>
      <c r="B40" s="4">
        <f>'VSV eGFP 171013 '!B40</f>
        <v>0</v>
      </c>
      <c r="C40" s="48" t="s">
        <v>90</v>
      </c>
      <c r="D40" s="87"/>
      <c r="E40" s="6">
        <f>E21*1.1</f>
        <v>487.95298265597597</v>
      </c>
      <c r="F40" s="6">
        <f t="shared" ref="F40:N40" si="14">F21*1.1</f>
        <v>15872.282300548733</v>
      </c>
      <c r="G40" s="6">
        <f t="shared" si="14"/>
        <v>29340.788565261842</v>
      </c>
      <c r="H40" s="6">
        <f t="shared" si="14"/>
        <v>29564.259480986595</v>
      </c>
      <c r="I40" s="6">
        <f t="shared" si="14"/>
        <v>29201.851587703586</v>
      </c>
      <c r="J40" s="6">
        <f t="shared" si="14"/>
        <v>34415.333185975316</v>
      </c>
      <c r="K40" s="6">
        <f t="shared" si="14"/>
        <v>26207.176090433481</v>
      </c>
      <c r="L40" s="6">
        <f t="shared" si="14"/>
        <v>18229.186774505139</v>
      </c>
      <c r="M40" s="6">
        <f t="shared" si="14"/>
        <v>31808.173832846405</v>
      </c>
      <c r="N40" s="6">
        <f t="shared" si="14"/>
        <v>420.15849159233272</v>
      </c>
      <c r="AA40" t="s">
        <v>47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6" x14ac:dyDescent="0.2">
      <c r="A41" s="4"/>
      <c r="B41" s="4"/>
      <c r="C41" s="26" t="s">
        <v>91</v>
      </c>
      <c r="D41" s="27">
        <f t="shared" ref="D41:N41" si="15">AVERAGE(D39,D40)</f>
        <v>14.837179806126281</v>
      </c>
      <c r="E41" s="27">
        <f t="shared" si="15"/>
        <v>479.16481423985215</v>
      </c>
      <c r="F41" s="27">
        <f t="shared" si="15"/>
        <v>13458.463213806064</v>
      </c>
      <c r="G41" s="27">
        <f t="shared" si="15"/>
        <v>27406.13423039997</v>
      </c>
      <c r="H41" s="27">
        <f t="shared" si="15"/>
        <v>28351.07250074637</v>
      </c>
      <c r="I41" s="27">
        <f t="shared" si="15"/>
        <v>34577.285644426527</v>
      </c>
      <c r="J41" s="27">
        <f t="shared" si="15"/>
        <v>37620.924974668626</v>
      </c>
      <c r="K41" s="27">
        <f t="shared" si="15"/>
        <v>31670.910572387878</v>
      </c>
      <c r="L41" s="27">
        <f t="shared" si="15"/>
        <v>16536.83554125658</v>
      </c>
      <c r="M41" s="27">
        <f t="shared" si="15"/>
        <v>28883.385378348474</v>
      </c>
      <c r="N41" s="27">
        <f t="shared" si="15"/>
        <v>438.99029553166497</v>
      </c>
      <c r="AA41" t="s">
        <v>37</v>
      </c>
      <c r="AB41">
        <v>1</v>
      </c>
      <c r="AC41">
        <v>2</v>
      </c>
      <c r="AD41">
        <v>3</v>
      </c>
      <c r="AE41">
        <v>4</v>
      </c>
      <c r="AF41">
        <v>5</v>
      </c>
      <c r="AG41">
        <v>6</v>
      </c>
      <c r="AH41">
        <v>7</v>
      </c>
      <c r="AI41">
        <v>8</v>
      </c>
      <c r="AJ41">
        <v>9</v>
      </c>
      <c r="AK41">
        <v>10</v>
      </c>
      <c r="AL41">
        <v>11</v>
      </c>
      <c r="AM41">
        <v>12</v>
      </c>
      <c r="AN41"/>
    </row>
    <row r="42" spans="1:40" ht="16" x14ac:dyDescent="0.2">
      <c r="A42" s="4">
        <f>'VSV eGFP 171013 '!A41</f>
        <v>0</v>
      </c>
      <c r="B42" s="4">
        <f>'VSV eGFP 171013 '!B41</f>
        <v>0</v>
      </c>
      <c r="C42" s="4" t="str">
        <f>'VSV eGFP 171013 '!C41</f>
        <v>#3</v>
      </c>
      <c r="D42" s="4"/>
      <c r="AA42" t="s">
        <v>39</v>
      </c>
      <c r="AB42">
        <v>3.8399999999999997E-2</v>
      </c>
      <c r="AC42">
        <v>4.07E-2</v>
      </c>
      <c r="AD42">
        <v>4.3499999999999997E-2</v>
      </c>
      <c r="AE42">
        <v>4.41E-2</v>
      </c>
      <c r="AF42">
        <v>4.6300000000000001E-2</v>
      </c>
      <c r="AG42">
        <v>4.6800000000000001E-2</v>
      </c>
      <c r="AH42">
        <v>3.9199999999999999E-2</v>
      </c>
      <c r="AI42">
        <v>4.6600000000000003E-2</v>
      </c>
      <c r="AJ42">
        <v>4.2500000000000003E-2</v>
      </c>
      <c r="AK42">
        <v>4.3799999999999999E-2</v>
      </c>
      <c r="AL42">
        <v>4.5699999999999998E-2</v>
      </c>
      <c r="AM42">
        <v>4.7E-2</v>
      </c>
      <c r="AN42"/>
    </row>
    <row r="43" spans="1:40" ht="16" x14ac:dyDescent="0.2">
      <c r="A43" s="4">
        <f>'VSV eGFP 171013 '!A42</f>
        <v>0</v>
      </c>
      <c r="B43" s="4">
        <f>'VSV eGFP 171013 '!B42</f>
        <v>0</v>
      </c>
      <c r="C43" s="4" t="str">
        <f>'VSV eGFP 171013 '!C42</f>
        <v>#4</v>
      </c>
      <c r="D43" s="4"/>
      <c r="AA43" t="s">
        <v>40</v>
      </c>
      <c r="AB43">
        <v>3.9600000000000003E-2</v>
      </c>
      <c r="AC43">
        <v>4.3799999999999999E-2</v>
      </c>
      <c r="AD43">
        <v>4.2999999999999997E-2</v>
      </c>
      <c r="AE43">
        <v>4.36E-2</v>
      </c>
      <c r="AF43">
        <v>4.8500000000000001E-2</v>
      </c>
      <c r="AG43">
        <v>4.7800000000000002E-2</v>
      </c>
      <c r="AH43">
        <v>3.9300000000000002E-2</v>
      </c>
      <c r="AI43">
        <v>4.4400000000000002E-2</v>
      </c>
      <c r="AJ43">
        <v>4.0599999999999997E-2</v>
      </c>
      <c r="AK43">
        <v>4.3499999999999997E-2</v>
      </c>
      <c r="AL43">
        <v>4.1700000000000001E-2</v>
      </c>
      <c r="AM43">
        <v>4.2200000000000001E-2</v>
      </c>
      <c r="AN43"/>
    </row>
    <row r="44" spans="1:40" ht="16" x14ac:dyDescent="0.2">
      <c r="A44" s="4" t="str">
        <f>'VSV eGFP 171013 '!A43</f>
        <v>Average</v>
      </c>
      <c r="B44" s="4">
        <f>'VSV eGFP 171013 '!B43</f>
        <v>0</v>
      </c>
      <c r="C44" s="4">
        <f>'VSV eGFP 171013 '!C43</f>
        <v>0</v>
      </c>
      <c r="D44" s="4"/>
      <c r="AA44" t="s">
        <v>41</v>
      </c>
      <c r="AB44">
        <v>4.0399999999999998E-2</v>
      </c>
      <c r="AC44">
        <v>4.0800000000000003E-2</v>
      </c>
      <c r="AD44">
        <v>4.3200000000000002E-2</v>
      </c>
      <c r="AE44">
        <v>4.3400000000000001E-2</v>
      </c>
      <c r="AF44">
        <v>4.3799999999999999E-2</v>
      </c>
      <c r="AG44">
        <v>4.4400000000000002E-2</v>
      </c>
      <c r="AH44">
        <v>3.7600000000000001E-2</v>
      </c>
      <c r="AI44">
        <v>4.2500000000000003E-2</v>
      </c>
      <c r="AJ44">
        <v>4.1099999999999998E-2</v>
      </c>
      <c r="AK44">
        <v>4.3700000000000003E-2</v>
      </c>
      <c r="AL44">
        <v>4.02E-2</v>
      </c>
      <c r="AM44">
        <v>4.2200000000000001E-2</v>
      </c>
      <c r="AN44"/>
    </row>
    <row r="45" spans="1:40" ht="16" x14ac:dyDescent="0.2">
      <c r="A45" s="4">
        <f>'VSV eGFP 171013 '!A44</f>
        <v>0</v>
      </c>
      <c r="B45" s="4">
        <f>'VSV eGFP 171013 '!B44</f>
        <v>0</v>
      </c>
      <c r="C45" s="4">
        <f>'VSV eGFP 171013 '!C44</f>
        <v>0</v>
      </c>
      <c r="D45" s="4"/>
      <c r="AA45" t="s">
        <v>42</v>
      </c>
      <c r="AB45">
        <v>4.0899999999999999E-2</v>
      </c>
      <c r="AC45">
        <v>4.1799999999999997E-2</v>
      </c>
      <c r="AD45">
        <v>4.2700000000000002E-2</v>
      </c>
      <c r="AE45">
        <v>4.24E-2</v>
      </c>
      <c r="AF45">
        <v>4.3299999999999998E-2</v>
      </c>
      <c r="AG45">
        <v>4.2999999999999997E-2</v>
      </c>
      <c r="AH45">
        <v>3.7699999999999997E-2</v>
      </c>
      <c r="AI45">
        <v>4.2000000000000003E-2</v>
      </c>
      <c r="AJ45">
        <v>4.02E-2</v>
      </c>
      <c r="AK45">
        <v>4.3499999999999997E-2</v>
      </c>
      <c r="AL45">
        <v>3.95E-2</v>
      </c>
      <c r="AM45">
        <v>4.36E-2</v>
      </c>
      <c r="AN45"/>
    </row>
    <row r="46" spans="1:40" ht="16" x14ac:dyDescent="0.2">
      <c r="A46" s="4" t="str">
        <f>'VSV eGFP 171013 '!A45</f>
        <v>FOLD change (cf 'mock')</v>
      </c>
      <c r="B46" s="4" t="str">
        <f>'VSV eGFP 171013 '!B45</f>
        <v>Fold change</v>
      </c>
      <c r="C46" s="4" t="str">
        <f>'VSV eGFP 171013 '!C45</f>
        <v>#1</v>
      </c>
      <c r="D46" s="4">
        <f>D41/$F$41</f>
        <v>1.1024423495028684E-3</v>
      </c>
      <c r="E46" s="4">
        <f t="shared" ref="E46:N46" si="16">E41/$F$41</f>
        <v>3.5603233937461121E-2</v>
      </c>
      <c r="F46" s="4">
        <f t="shared" si="16"/>
        <v>1</v>
      </c>
      <c r="G46" s="4">
        <f t="shared" si="16"/>
        <v>2.0363494549872527</v>
      </c>
      <c r="H46" s="4">
        <f t="shared" si="16"/>
        <v>2.106560908950069</v>
      </c>
      <c r="I46" s="4">
        <f t="shared" si="16"/>
        <v>2.5691852847623933</v>
      </c>
      <c r="J46" s="4">
        <f t="shared" si="16"/>
        <v>2.795335869854445</v>
      </c>
      <c r="K46" s="4">
        <f t="shared" si="16"/>
        <v>2.3532338030912014</v>
      </c>
      <c r="L46" s="4">
        <f t="shared" si="16"/>
        <v>1.2287313401646509</v>
      </c>
      <c r="M46" s="4">
        <f t="shared" si="16"/>
        <v>2.1461131868844503</v>
      </c>
      <c r="N46" s="4">
        <f t="shared" si="16"/>
        <v>3.261815918784372E-2</v>
      </c>
      <c r="AA46" t="s">
        <v>43</v>
      </c>
      <c r="AB46">
        <v>4.0800000000000003E-2</v>
      </c>
      <c r="AC46">
        <v>3.9300000000000002E-2</v>
      </c>
      <c r="AD46">
        <v>3.8100000000000002E-2</v>
      </c>
      <c r="AE46">
        <v>0.04</v>
      </c>
      <c r="AF46">
        <v>3.8899999999999997E-2</v>
      </c>
      <c r="AG46">
        <v>3.8699999999999998E-2</v>
      </c>
      <c r="AH46">
        <v>3.78E-2</v>
      </c>
      <c r="AI46">
        <v>3.7999999999999999E-2</v>
      </c>
      <c r="AJ46">
        <v>3.8300000000000001E-2</v>
      </c>
      <c r="AK46">
        <v>3.8800000000000001E-2</v>
      </c>
      <c r="AL46">
        <v>3.9100000000000003E-2</v>
      </c>
      <c r="AM46">
        <v>3.9100000000000003E-2</v>
      </c>
      <c r="AN46"/>
    </row>
    <row r="47" spans="1:40" ht="16" x14ac:dyDescent="0.2">
      <c r="A47" s="4">
        <f>'VSV eGFP 171013 '!A46</f>
        <v>0</v>
      </c>
      <c r="B47" s="4">
        <f>'VSV eGFP 171013 '!B46</f>
        <v>0</v>
      </c>
      <c r="AA47" t="s">
        <v>44</v>
      </c>
      <c r="AB47">
        <v>4.2099999999999999E-2</v>
      </c>
      <c r="AC47">
        <v>3.9899999999999998E-2</v>
      </c>
      <c r="AD47">
        <v>3.8600000000000002E-2</v>
      </c>
      <c r="AE47">
        <v>3.8100000000000002E-2</v>
      </c>
      <c r="AF47">
        <v>3.8899999999999997E-2</v>
      </c>
      <c r="AG47">
        <v>3.9100000000000003E-2</v>
      </c>
      <c r="AH47">
        <v>3.7999999999999999E-2</v>
      </c>
      <c r="AI47">
        <v>3.8600000000000002E-2</v>
      </c>
      <c r="AJ47">
        <v>3.95E-2</v>
      </c>
      <c r="AK47">
        <v>3.9699999999999999E-2</v>
      </c>
      <c r="AL47">
        <v>4.02E-2</v>
      </c>
      <c r="AM47">
        <v>4.1099999999999998E-2</v>
      </c>
      <c r="AN47"/>
    </row>
    <row r="48" spans="1:40" ht="16" x14ac:dyDescent="0.2">
      <c r="AA48" t="s">
        <v>45</v>
      </c>
      <c r="AB48">
        <v>3.8800000000000001E-2</v>
      </c>
      <c r="AC48">
        <v>4.0800000000000003E-2</v>
      </c>
      <c r="AD48">
        <v>4.2799999999999998E-2</v>
      </c>
      <c r="AE48">
        <v>4.0300000000000002E-2</v>
      </c>
      <c r="AF48">
        <v>4.53E-2</v>
      </c>
      <c r="AG48">
        <v>3.9399999999999998E-2</v>
      </c>
      <c r="AH48">
        <v>3.8600000000000002E-2</v>
      </c>
      <c r="AI48">
        <v>4.0500000000000001E-2</v>
      </c>
      <c r="AJ48">
        <v>3.9600000000000003E-2</v>
      </c>
      <c r="AK48">
        <v>3.9399999999999998E-2</v>
      </c>
      <c r="AL48">
        <v>4.1099999999999998E-2</v>
      </c>
      <c r="AM48">
        <v>3.8699999999999998E-2</v>
      </c>
      <c r="AN48"/>
    </row>
    <row r="49" spans="27:40" ht="16" x14ac:dyDescent="0.2">
      <c r="AA49" t="s">
        <v>46</v>
      </c>
      <c r="AB49">
        <v>3.8600000000000002E-2</v>
      </c>
      <c r="AC49">
        <v>3.9399999999999998E-2</v>
      </c>
      <c r="AD49">
        <v>3.9600000000000003E-2</v>
      </c>
      <c r="AE49">
        <v>4.1099999999999998E-2</v>
      </c>
      <c r="AF49">
        <v>3.8899999999999997E-2</v>
      </c>
      <c r="AG49">
        <v>3.9399999999999998E-2</v>
      </c>
      <c r="AH49">
        <v>4.02E-2</v>
      </c>
      <c r="AI49">
        <v>3.9399999999999998E-2</v>
      </c>
      <c r="AJ49">
        <v>4.1700000000000001E-2</v>
      </c>
      <c r="AK49">
        <v>3.9899999999999998E-2</v>
      </c>
      <c r="AL49">
        <v>3.8899999999999997E-2</v>
      </c>
      <c r="AM49">
        <v>3.9100000000000003E-2</v>
      </c>
      <c r="AN49"/>
    </row>
    <row r="50" spans="27:40" ht="16" x14ac:dyDescent="0.2"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27:40" ht="16" x14ac:dyDescent="0.2">
      <c r="AA51" t="s">
        <v>50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27:40" ht="16" x14ac:dyDescent="0.2">
      <c r="AA52" t="s">
        <v>37</v>
      </c>
      <c r="AB52">
        <v>1</v>
      </c>
      <c r="AC52">
        <v>2</v>
      </c>
      <c r="AD52">
        <v>3</v>
      </c>
      <c r="AE52">
        <v>4</v>
      </c>
      <c r="AF52">
        <v>5</v>
      </c>
      <c r="AG52">
        <v>6</v>
      </c>
      <c r="AH52">
        <v>7</v>
      </c>
      <c r="AI52">
        <v>8</v>
      </c>
      <c r="AJ52">
        <v>9</v>
      </c>
      <c r="AK52">
        <v>10</v>
      </c>
      <c r="AL52">
        <v>11</v>
      </c>
      <c r="AM52">
        <v>12</v>
      </c>
      <c r="AN52"/>
    </row>
    <row r="53" spans="27:40" ht="16" x14ac:dyDescent="0.2">
      <c r="AA53" t="s">
        <v>39</v>
      </c>
      <c r="AB53" s="96">
        <v>2.7099999999999999E-2</v>
      </c>
      <c r="AC53" s="96">
        <v>0.67020000000000002</v>
      </c>
      <c r="AD53" s="96">
        <v>1.6032</v>
      </c>
      <c r="AE53" s="96">
        <v>1.6506000000000001</v>
      </c>
      <c r="AF53" s="96">
        <v>2.4693999999999998</v>
      </c>
      <c r="AG53" s="96">
        <v>2.5185</v>
      </c>
      <c r="AH53" s="96">
        <v>2.7400000000000001E-2</v>
      </c>
      <c r="AI53" s="96">
        <v>2.2440000000000002</v>
      </c>
      <c r="AJ53" s="96">
        <v>0.92249999999999999</v>
      </c>
      <c r="AK53" s="96">
        <v>1.5919000000000001</v>
      </c>
      <c r="AL53" s="96">
        <v>2.1850999999999998</v>
      </c>
      <c r="AM53" s="96">
        <v>2.3075999999999999</v>
      </c>
      <c r="AN53"/>
    </row>
    <row r="54" spans="27:40" ht="16" x14ac:dyDescent="0.2">
      <c r="AA54" t="s">
        <v>40</v>
      </c>
      <c r="AB54" s="96">
        <v>2.9100000000000001E-2</v>
      </c>
      <c r="AC54" s="96">
        <v>0.64939999999999998</v>
      </c>
      <c r="AD54" s="96">
        <v>1.4400999999999999</v>
      </c>
      <c r="AE54" s="96">
        <v>1.5918000000000001</v>
      </c>
      <c r="AF54" s="96">
        <v>2.3041</v>
      </c>
      <c r="AG54" s="96">
        <v>2.3593999999999999</v>
      </c>
      <c r="AH54" s="96">
        <v>2.7300000000000001E-2</v>
      </c>
      <c r="AI54" s="96">
        <v>2.1928000000000001</v>
      </c>
      <c r="AJ54" s="96">
        <v>0.85109999999999997</v>
      </c>
      <c r="AK54" s="96">
        <v>1.5096000000000001</v>
      </c>
      <c r="AL54" s="96">
        <v>1.0316000000000001</v>
      </c>
      <c r="AM54" s="96">
        <v>1.0415000000000001</v>
      </c>
      <c r="AN54"/>
    </row>
    <row r="55" spans="27:40" ht="16" x14ac:dyDescent="0.2">
      <c r="AA55" t="s">
        <v>41</v>
      </c>
      <c r="AB55" s="96">
        <v>2.9399999999999999E-2</v>
      </c>
      <c r="AC55" s="96">
        <v>0.96630000000000005</v>
      </c>
      <c r="AD55" s="96">
        <v>1.8058000000000001</v>
      </c>
      <c r="AE55" s="96">
        <v>1.8263</v>
      </c>
      <c r="AF55" s="96">
        <v>1.8463000000000001</v>
      </c>
      <c r="AG55" s="96">
        <v>2.0657000000000001</v>
      </c>
      <c r="AH55" s="96">
        <v>2.5499999999999998E-2</v>
      </c>
      <c r="AI55" s="96">
        <v>1.5704</v>
      </c>
      <c r="AJ55" s="96">
        <v>1.1169</v>
      </c>
      <c r="AK55" s="96">
        <v>1.9669000000000001</v>
      </c>
      <c r="AL55" s="96">
        <v>0.53500000000000003</v>
      </c>
      <c r="AM55" s="96">
        <v>0.53069999999999995</v>
      </c>
      <c r="AN55"/>
    </row>
    <row r="56" spans="27:40" ht="16" x14ac:dyDescent="0.2">
      <c r="AA56" t="s">
        <v>42</v>
      </c>
      <c r="AB56" s="96">
        <v>2.8899999999999999E-2</v>
      </c>
      <c r="AC56" s="96">
        <v>0.93010000000000004</v>
      </c>
      <c r="AD56" s="96">
        <v>1.6998</v>
      </c>
      <c r="AE56" s="96">
        <v>1.706</v>
      </c>
      <c r="AF56" s="96">
        <v>1.6427</v>
      </c>
      <c r="AG56" s="96">
        <v>2.0461999999999998</v>
      </c>
      <c r="AH56" s="96">
        <v>2.47E-2</v>
      </c>
      <c r="AI56" s="96">
        <v>1.5608</v>
      </c>
      <c r="AJ56" s="96">
        <v>1.0610999999999999</v>
      </c>
      <c r="AK56" s="96">
        <v>1.8334999999999999</v>
      </c>
      <c r="AL56" s="96">
        <v>0.26840000000000003</v>
      </c>
      <c r="AM56" s="96">
        <v>0.27129999999999999</v>
      </c>
      <c r="AN56"/>
    </row>
    <row r="57" spans="27:40" ht="16" x14ac:dyDescent="0.2">
      <c r="AA57" t="s">
        <v>43</v>
      </c>
      <c r="AB57">
        <v>3.0300000000000001E-2</v>
      </c>
      <c r="AC57">
        <v>0.1273</v>
      </c>
      <c r="AD57">
        <v>0.26290000000000002</v>
      </c>
      <c r="AE57">
        <v>0.25669999999999998</v>
      </c>
      <c r="AF57">
        <v>0.3604</v>
      </c>
      <c r="AG57">
        <v>0.35510000000000003</v>
      </c>
      <c r="AH57">
        <v>3.1199999999999999E-2</v>
      </c>
      <c r="AI57">
        <v>0.3574</v>
      </c>
      <c r="AJ57">
        <v>0.16139999999999999</v>
      </c>
      <c r="AK57">
        <v>0.27689999999999998</v>
      </c>
      <c r="AL57" s="96">
        <v>0.13830000000000001</v>
      </c>
      <c r="AM57" s="96">
        <v>0.1477</v>
      </c>
      <c r="AN57"/>
    </row>
    <row r="58" spans="27:40" ht="16" x14ac:dyDescent="0.2">
      <c r="AA58" t="s">
        <v>44</v>
      </c>
      <c r="AB58">
        <v>2.81E-2</v>
      </c>
      <c r="AC58">
        <v>0.12089999999999999</v>
      </c>
      <c r="AD58">
        <v>0.2296</v>
      </c>
      <c r="AE58">
        <v>0.2437</v>
      </c>
      <c r="AF58">
        <v>0.32350000000000001</v>
      </c>
      <c r="AG58">
        <v>0.51729999999999998</v>
      </c>
      <c r="AH58">
        <v>3.1099999999999999E-2</v>
      </c>
      <c r="AI58">
        <v>0.34789999999999999</v>
      </c>
      <c r="AJ58">
        <v>0.15759999999999999</v>
      </c>
      <c r="AK58">
        <v>0.25769999999999998</v>
      </c>
      <c r="AL58" s="96">
        <v>7.9899999999999999E-2</v>
      </c>
      <c r="AM58" s="96">
        <v>8.3199999999999996E-2</v>
      </c>
      <c r="AN58"/>
    </row>
    <row r="59" spans="27:40" ht="16" x14ac:dyDescent="0.2">
      <c r="AA59" t="s">
        <v>45</v>
      </c>
      <c r="AB59">
        <v>2.9399999999999999E-2</v>
      </c>
      <c r="AC59">
        <v>0.16200000000000001</v>
      </c>
      <c r="AD59">
        <v>0.25569999999999998</v>
      </c>
      <c r="AE59">
        <v>0.27410000000000001</v>
      </c>
      <c r="AF59">
        <v>0.28010000000000002</v>
      </c>
      <c r="AG59">
        <v>0.32279999999999998</v>
      </c>
      <c r="AH59">
        <v>3.09E-2</v>
      </c>
      <c r="AI59">
        <v>0.24779999999999999</v>
      </c>
      <c r="AJ59">
        <v>0.18079999999999999</v>
      </c>
      <c r="AK59">
        <v>0.27889999999999998</v>
      </c>
      <c r="AL59" s="96">
        <v>5.6000000000000001E-2</v>
      </c>
      <c r="AM59" s="96">
        <v>6.0400000000000002E-2</v>
      </c>
      <c r="AN59"/>
    </row>
    <row r="60" spans="27:40" ht="16" x14ac:dyDescent="0.2">
      <c r="AA60" t="s">
        <v>46</v>
      </c>
      <c r="AB60">
        <v>3.2399999999999998E-2</v>
      </c>
      <c r="AC60">
        <v>0.17369999999999999</v>
      </c>
      <c r="AD60">
        <v>0.26989999999999997</v>
      </c>
      <c r="AE60">
        <v>0.2666</v>
      </c>
      <c r="AF60">
        <v>0.27600000000000002</v>
      </c>
      <c r="AG60">
        <v>0.34210000000000002</v>
      </c>
      <c r="AH60">
        <v>3.4200000000000001E-2</v>
      </c>
      <c r="AI60">
        <v>0.25340000000000001</v>
      </c>
      <c r="AJ60">
        <v>0.1855</v>
      </c>
      <c r="AK60">
        <v>0.28620000000000001</v>
      </c>
      <c r="AL60" s="96">
        <v>2.81E-2</v>
      </c>
      <c r="AM60" s="96">
        <v>3.04E-2</v>
      </c>
      <c r="AN60"/>
    </row>
    <row r="61" spans="27:40" ht="16" x14ac:dyDescent="0.2"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27:40" ht="16" x14ac:dyDescent="0.2"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27:40" ht="16" x14ac:dyDescent="0.2">
      <c r="AA63" t="s">
        <v>51</v>
      </c>
      <c r="AB63" s="95">
        <v>43221.716249999998</v>
      </c>
      <c r="AC63"/>
      <c r="AD63"/>
      <c r="AE63"/>
      <c r="AF63"/>
      <c r="AG63"/>
      <c r="AH63"/>
      <c r="AI63"/>
      <c r="AJ63"/>
      <c r="AK63"/>
      <c r="AL63"/>
      <c r="AM63"/>
      <c r="AN63"/>
    </row>
    <row r="64" spans="27:40" ht="16" x14ac:dyDescent="0.2"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26:40" ht="35" thickBot="1" x14ac:dyDescent="0.25">
      <c r="AA65" s="144" t="s">
        <v>193</v>
      </c>
      <c r="AB65" s="145">
        <f>AB52</f>
        <v>1</v>
      </c>
      <c r="AC65" s="145">
        <f t="shared" ref="AC65:AM65" si="17">AC52</f>
        <v>2</v>
      </c>
      <c r="AD65" s="145">
        <f t="shared" si="17"/>
        <v>3</v>
      </c>
      <c r="AE65" s="145">
        <f t="shared" si="17"/>
        <v>4</v>
      </c>
      <c r="AF65" s="145">
        <f t="shared" si="17"/>
        <v>5</v>
      </c>
      <c r="AG65" s="145">
        <f t="shared" si="17"/>
        <v>6</v>
      </c>
      <c r="AH65" s="145">
        <f t="shared" si="17"/>
        <v>7</v>
      </c>
      <c r="AI65" s="145">
        <f t="shared" si="17"/>
        <v>8</v>
      </c>
      <c r="AJ65" s="145">
        <f t="shared" si="17"/>
        <v>9</v>
      </c>
      <c r="AK65" s="145">
        <f t="shared" si="17"/>
        <v>10</v>
      </c>
      <c r="AL65" s="145">
        <f t="shared" si="17"/>
        <v>11</v>
      </c>
      <c r="AM65" s="145">
        <f t="shared" si="17"/>
        <v>12</v>
      </c>
      <c r="AN65"/>
    </row>
    <row r="66" spans="26:40" ht="81" thickBot="1" x14ac:dyDescent="0.25">
      <c r="Z66" s="165" t="s">
        <v>410</v>
      </c>
      <c r="AA66" s="145" t="str">
        <f>AA53</f>
        <v>A</v>
      </c>
      <c r="AB66" s="1" t="s">
        <v>351</v>
      </c>
      <c r="AC66" s="1" t="s">
        <v>352</v>
      </c>
      <c r="AD66" s="1" t="s">
        <v>353</v>
      </c>
      <c r="AE66" s="1" t="s">
        <v>354</v>
      </c>
      <c r="AF66" s="1" t="s">
        <v>355</v>
      </c>
      <c r="AG66" s="1" t="s">
        <v>356</v>
      </c>
      <c r="AH66" s="50" t="s">
        <v>398</v>
      </c>
      <c r="AI66" s="1" t="s">
        <v>358</v>
      </c>
      <c r="AJ66" s="1" t="s">
        <v>359</v>
      </c>
      <c r="AK66" s="1" t="s">
        <v>357</v>
      </c>
      <c r="AL66" s="9">
        <v>1000</v>
      </c>
      <c r="AM66" s="9">
        <v>1000</v>
      </c>
    </row>
    <row r="67" spans="26:40" ht="81" thickBot="1" x14ac:dyDescent="0.25">
      <c r="Z67" s="166"/>
      <c r="AA67" s="145" t="str">
        <f t="shared" ref="AA67:AA73" si="18">AA54</f>
        <v>B</v>
      </c>
      <c r="AB67" s="1" t="s">
        <v>360</v>
      </c>
      <c r="AC67" s="1" t="s">
        <v>361</v>
      </c>
      <c r="AD67" s="1" t="s">
        <v>362</v>
      </c>
      <c r="AE67" s="1" t="s">
        <v>363</v>
      </c>
      <c r="AF67" s="1" t="s">
        <v>364</v>
      </c>
      <c r="AG67" s="1" t="s">
        <v>365</v>
      </c>
      <c r="AH67" s="50" t="s">
        <v>399</v>
      </c>
      <c r="AI67" s="1" t="s">
        <v>367</v>
      </c>
      <c r="AJ67" s="1" t="s">
        <v>368</v>
      </c>
      <c r="AK67" s="1" t="s">
        <v>366</v>
      </c>
      <c r="AL67" s="9">
        <v>500</v>
      </c>
      <c r="AM67" s="9">
        <v>500</v>
      </c>
    </row>
    <row r="68" spans="26:40" ht="81" thickBot="1" x14ac:dyDescent="0.25">
      <c r="Z68" s="166"/>
      <c r="AA68" s="145" t="str">
        <f t="shared" si="18"/>
        <v>C</v>
      </c>
      <c r="AB68" s="1" t="s">
        <v>369</v>
      </c>
      <c r="AC68" s="1" t="s">
        <v>370</v>
      </c>
      <c r="AD68" s="1" t="s">
        <v>371</v>
      </c>
      <c r="AE68" s="1" t="s">
        <v>372</v>
      </c>
      <c r="AF68" s="1" t="s">
        <v>373</v>
      </c>
      <c r="AG68" s="1" t="s">
        <v>374</v>
      </c>
      <c r="AH68" s="147" t="s">
        <v>400</v>
      </c>
      <c r="AI68" s="1" t="s">
        <v>376</v>
      </c>
      <c r="AJ68" s="1" t="s">
        <v>377</v>
      </c>
      <c r="AK68" s="1" t="s">
        <v>375</v>
      </c>
      <c r="AL68" s="9">
        <v>250</v>
      </c>
      <c r="AM68" s="9">
        <v>250</v>
      </c>
    </row>
    <row r="69" spans="26:40" ht="80" x14ac:dyDescent="0.2">
      <c r="Z69" s="166"/>
      <c r="AA69" s="145" t="str">
        <f t="shared" si="18"/>
        <v>D</v>
      </c>
      <c r="AB69" s="1" t="s">
        <v>378</v>
      </c>
      <c r="AC69" s="1" t="s">
        <v>379</v>
      </c>
      <c r="AD69" s="1" t="s">
        <v>380</v>
      </c>
      <c r="AE69" s="1" t="s">
        <v>381</v>
      </c>
      <c r="AF69" s="1" t="s">
        <v>382</v>
      </c>
      <c r="AG69" s="1" t="s">
        <v>383</v>
      </c>
      <c r="AH69" s="147" t="s">
        <v>401</v>
      </c>
      <c r="AI69" s="1" t="s">
        <v>385</v>
      </c>
      <c r="AJ69" s="1" t="s">
        <v>386</v>
      </c>
      <c r="AK69" s="1" t="s">
        <v>384</v>
      </c>
      <c r="AL69" s="9">
        <v>125</v>
      </c>
      <c r="AM69" s="9">
        <v>125</v>
      </c>
    </row>
    <row r="70" spans="26:40" ht="16" x14ac:dyDescent="0.2">
      <c r="AA70" s="145" t="str">
        <f t="shared" si="18"/>
        <v>E</v>
      </c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9">
        <v>62.5</v>
      </c>
      <c r="AM70" s="9">
        <v>62.5</v>
      </c>
    </row>
    <row r="71" spans="26:40" ht="16" x14ac:dyDescent="0.2">
      <c r="AA71" s="145" t="str">
        <f t="shared" si="18"/>
        <v>F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v>31.25</v>
      </c>
      <c r="AM71" s="9">
        <v>31.25</v>
      </c>
    </row>
    <row r="72" spans="26:40" ht="16" x14ac:dyDescent="0.2">
      <c r="AA72" s="145" t="str">
        <f t="shared" si="18"/>
        <v>G</v>
      </c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>
        <v>15.625</v>
      </c>
      <c r="AM72" s="9">
        <v>15.625</v>
      </c>
    </row>
    <row r="73" spans="26:40" ht="16" x14ac:dyDescent="0.2">
      <c r="AA73" s="145" t="str">
        <f t="shared" si="18"/>
        <v>H</v>
      </c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46" t="s">
        <v>48</v>
      </c>
      <c r="AM73" s="146" t="s">
        <v>48</v>
      </c>
    </row>
  </sheetData>
  <mergeCells count="1">
    <mergeCell ref="Z66:Z6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A9C-562C-A141-8E19-280565EBF0E8}">
  <dimension ref="A1:AN74"/>
  <sheetViews>
    <sheetView topLeftCell="L16" workbookViewId="0">
      <selection activeCell="A5" sqref="A5:XFD5"/>
    </sheetView>
  </sheetViews>
  <sheetFormatPr baseColWidth="10" defaultColWidth="8.83203125" defaultRowHeight="15" x14ac:dyDescent="0.2"/>
  <cols>
    <col min="1" max="1" width="8.83203125" style="6"/>
    <col min="2" max="2" width="13.33203125" style="6" customWidth="1"/>
    <col min="3" max="3" width="32.1640625" style="28" customWidth="1"/>
    <col min="4" max="26" width="8.83203125" style="6"/>
    <col min="27" max="27" width="15.5" style="6" customWidth="1"/>
    <col min="28" max="28" width="9.1640625" style="6" customWidth="1"/>
    <col min="29" max="29" width="8.1640625" style="6" customWidth="1"/>
    <col min="30" max="30" width="10.1640625" style="6" customWidth="1"/>
    <col min="31" max="31" width="12" style="6" customWidth="1"/>
    <col min="32" max="32" width="9" style="6" customWidth="1"/>
    <col min="33" max="33" width="11" style="6" customWidth="1"/>
    <col min="34" max="34" width="9.6640625" style="6" customWidth="1"/>
    <col min="35" max="35" width="9.1640625" style="6" customWidth="1"/>
    <col min="36" max="36" width="11.33203125" style="6" customWidth="1"/>
    <col min="37" max="37" width="8.83203125" style="6" customWidth="1"/>
    <col min="38" max="16384" width="8.83203125" style="6"/>
  </cols>
  <sheetData>
    <row r="1" spans="1:40" ht="16" x14ac:dyDescent="0.2">
      <c r="AA1" s="98" t="s">
        <v>2</v>
      </c>
      <c r="AB1" s="98"/>
      <c r="AC1" s="98"/>
      <c r="AD1" s="98"/>
      <c r="AE1" s="98" t="s">
        <v>3</v>
      </c>
      <c r="AF1" s="98"/>
      <c r="AG1" s="98"/>
      <c r="AH1" s="98"/>
      <c r="AI1" s="98"/>
      <c r="AJ1" s="110"/>
      <c r="AK1" s="110"/>
      <c r="AL1" s="110"/>
      <c r="AM1" s="110"/>
    </row>
    <row r="2" spans="1:40" ht="16" x14ac:dyDescent="0.2">
      <c r="A2" s="6" t="s">
        <v>162</v>
      </c>
      <c r="AA2" s="98" t="s">
        <v>4</v>
      </c>
      <c r="AB2" s="98"/>
      <c r="AC2" s="98"/>
      <c r="AD2" s="98"/>
      <c r="AE2" s="98" t="s">
        <v>5</v>
      </c>
      <c r="AF2" s="98"/>
      <c r="AG2" s="98"/>
      <c r="AH2" s="98"/>
      <c r="AI2" s="98"/>
      <c r="AJ2" s="110"/>
      <c r="AK2" s="110"/>
      <c r="AL2" s="110"/>
      <c r="AM2" s="110"/>
    </row>
    <row r="3" spans="1:40" ht="16" x14ac:dyDescent="0.2">
      <c r="A3" s="6" t="s">
        <v>152</v>
      </c>
      <c r="AA3" s="98" t="s">
        <v>6</v>
      </c>
      <c r="AB3" s="98"/>
      <c r="AC3" s="98"/>
      <c r="AD3" s="98"/>
      <c r="AE3" s="98" t="s">
        <v>7</v>
      </c>
      <c r="AF3" s="98"/>
      <c r="AG3" s="98"/>
      <c r="AH3" s="98"/>
      <c r="AI3" s="98"/>
      <c r="AJ3" s="110"/>
      <c r="AK3" s="110"/>
      <c r="AL3" s="110"/>
      <c r="AM3" s="110"/>
    </row>
    <row r="4" spans="1:40" ht="16" x14ac:dyDescent="0.2">
      <c r="A4" s="6" t="s">
        <v>160</v>
      </c>
      <c r="D4" s="127" t="s">
        <v>9</v>
      </c>
      <c r="E4" s="128"/>
      <c r="F4" s="128"/>
      <c r="G4" s="128"/>
      <c r="H4" s="128"/>
      <c r="I4" s="128"/>
      <c r="J4" s="128"/>
      <c r="K4" s="128"/>
      <c r="L4" s="128"/>
      <c r="M4" s="129"/>
      <c r="AA4" s="98"/>
      <c r="AB4" s="98"/>
      <c r="AC4" s="98"/>
      <c r="AD4" s="98"/>
      <c r="AE4" s="98"/>
      <c r="AF4" s="98"/>
      <c r="AG4" s="98"/>
      <c r="AH4" s="98"/>
      <c r="AI4" s="98"/>
      <c r="AJ4" s="110"/>
      <c r="AK4" s="110"/>
      <c r="AL4" s="110"/>
      <c r="AM4" s="110"/>
    </row>
    <row r="5" spans="1:40" s="11" customFormat="1" ht="32" x14ac:dyDescent="0.2">
      <c r="A5" s="11" t="s">
        <v>169</v>
      </c>
      <c r="C5" s="168"/>
      <c r="D5" s="169" t="s">
        <v>48</v>
      </c>
      <c r="E5" s="170" t="s">
        <v>391</v>
      </c>
      <c r="F5" s="170">
        <v>6.25E-2</v>
      </c>
      <c r="G5" s="170">
        <v>0.125</v>
      </c>
      <c r="H5" s="170">
        <v>0.25</v>
      </c>
      <c r="I5" s="170">
        <v>0.5</v>
      </c>
      <c r="J5" s="170" t="s">
        <v>60</v>
      </c>
      <c r="K5" s="171" t="s">
        <v>61</v>
      </c>
      <c r="L5" s="170" t="s">
        <v>62</v>
      </c>
      <c r="M5" s="170" t="s">
        <v>1</v>
      </c>
      <c r="AA5" s="172" t="s">
        <v>52</v>
      </c>
      <c r="AB5" s="173">
        <v>43292</v>
      </c>
      <c r="AC5" s="172"/>
      <c r="AD5" s="172"/>
      <c r="AE5" s="172"/>
      <c r="AF5" s="172"/>
      <c r="AG5" s="172"/>
      <c r="AH5" s="172"/>
      <c r="AI5" s="172"/>
      <c r="AJ5" s="2"/>
      <c r="AK5" s="2"/>
      <c r="AL5" s="2"/>
      <c r="AM5" s="2"/>
    </row>
    <row r="6" spans="1:40" ht="16" x14ac:dyDescent="0.2">
      <c r="A6" s="6" t="s">
        <v>170</v>
      </c>
      <c r="B6" s="41" t="s">
        <v>387</v>
      </c>
      <c r="Q6" s="6">
        <v>2.119999885559082</v>
      </c>
      <c r="R6" s="6">
        <f>Q6-$Q$13</f>
        <v>2.086999885737896</v>
      </c>
      <c r="S6" s="6">
        <v>1000</v>
      </c>
      <c r="AA6" s="98" t="s">
        <v>53</v>
      </c>
      <c r="AB6" s="99">
        <v>0.74642361111111111</v>
      </c>
      <c r="AC6" s="98"/>
      <c r="AD6" s="98"/>
      <c r="AE6" s="98"/>
      <c r="AF6" s="98"/>
      <c r="AG6" s="98"/>
      <c r="AH6" s="98"/>
      <c r="AI6" s="98"/>
      <c r="AJ6" s="110"/>
      <c r="AK6" s="110"/>
      <c r="AL6" s="110"/>
      <c r="AM6" s="110"/>
    </row>
    <row r="7" spans="1:40" x14ac:dyDescent="0.2">
      <c r="Q7" s="6">
        <v>0.97420001029968262</v>
      </c>
      <c r="R7" s="6">
        <f t="shared" ref="R7:R13" si="0">Q7-$Q$13</f>
        <v>0.94120001047849655</v>
      </c>
      <c r="S7" s="6">
        <v>500</v>
      </c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</row>
    <row r="8" spans="1:40" ht="16" x14ac:dyDescent="0.2">
      <c r="A8" s="6" t="s">
        <v>178</v>
      </c>
      <c r="D8" s="6">
        <v>1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1</v>
      </c>
      <c r="Q8" s="6">
        <v>0.45219999551773071</v>
      </c>
      <c r="R8" s="6">
        <f t="shared" si="0"/>
        <v>0.41919999569654465</v>
      </c>
      <c r="S8" s="6">
        <v>250</v>
      </c>
      <c r="AA8" s="98" t="s">
        <v>10</v>
      </c>
      <c r="AB8" s="98"/>
      <c r="AC8" s="98"/>
      <c r="AD8" s="98"/>
      <c r="AE8" s="98" t="s">
        <v>11</v>
      </c>
      <c r="AF8" s="98"/>
      <c r="AG8" s="98"/>
      <c r="AH8" s="98"/>
      <c r="AI8" s="98"/>
      <c r="AJ8" s="98"/>
      <c r="AK8" s="98"/>
      <c r="AL8" s="98"/>
      <c r="AM8" s="98"/>
      <c r="AN8"/>
    </row>
    <row r="9" spans="1:40" ht="16" x14ac:dyDescent="0.2">
      <c r="C9" s="28" t="s">
        <v>78</v>
      </c>
      <c r="D9" s="130">
        <v>3.3300001174211502E-2</v>
      </c>
      <c r="E9" s="131">
        <v>9.2699997127056122E-2</v>
      </c>
      <c r="F9" s="131">
        <v>0.14030000567436218</v>
      </c>
      <c r="G9" s="131">
        <v>0.17090000212192535</v>
      </c>
      <c r="H9" s="131">
        <v>0.21250000596046448</v>
      </c>
      <c r="I9" s="131">
        <v>0.39160001277923584</v>
      </c>
      <c r="J9" s="131">
        <v>0.12430000305175781</v>
      </c>
      <c r="K9" s="132">
        <v>0.10890000313520432</v>
      </c>
      <c r="L9" s="131">
        <v>0.37149998545646667</v>
      </c>
      <c r="M9" s="131">
        <v>3.5000000149011612E-2</v>
      </c>
      <c r="Q9" s="6">
        <v>0.2207999974489212</v>
      </c>
      <c r="R9" s="6">
        <f t="shared" si="0"/>
        <v>0.18779999762773514</v>
      </c>
      <c r="S9" s="6">
        <v>125</v>
      </c>
      <c r="AA9" s="98" t="s">
        <v>14</v>
      </c>
      <c r="AB9" s="98"/>
      <c r="AC9" s="98"/>
      <c r="AD9" s="98"/>
      <c r="AE9" s="98" t="s">
        <v>15</v>
      </c>
      <c r="AF9" s="98"/>
      <c r="AG9" s="98"/>
      <c r="AH9" s="98"/>
      <c r="AI9" s="98"/>
      <c r="AJ9" s="98"/>
      <c r="AK9" s="98"/>
      <c r="AL9" s="98"/>
      <c r="AM9" s="98"/>
      <c r="AN9"/>
    </row>
    <row r="10" spans="1:40" ht="16" x14ac:dyDescent="0.2">
      <c r="C10" s="28" t="s">
        <v>79</v>
      </c>
      <c r="D10" s="37">
        <v>3.229999914765358E-2</v>
      </c>
      <c r="E10" s="38">
        <v>9.6500001847743988E-2</v>
      </c>
      <c r="F10" s="38">
        <v>0.13869999349117279</v>
      </c>
      <c r="G10" s="38">
        <v>0.17749999463558197</v>
      </c>
      <c r="H10" s="38">
        <v>0.21639999747276306</v>
      </c>
      <c r="I10" s="38">
        <v>0.39969998598098755</v>
      </c>
      <c r="J10" s="38">
        <v>0.1265999972820282</v>
      </c>
      <c r="K10" s="39">
        <v>0.1160999983549118</v>
      </c>
      <c r="L10" s="38">
        <v>0.39449998736381531</v>
      </c>
      <c r="M10" s="38">
        <v>3.4099999815225601E-2</v>
      </c>
      <c r="Q10" s="6">
        <v>0.12690000236034393</v>
      </c>
      <c r="R10" s="6">
        <f t="shared" si="0"/>
        <v>9.3900002539157867E-2</v>
      </c>
      <c r="S10" s="6">
        <v>62.5</v>
      </c>
      <c r="AA10" s="98" t="s">
        <v>17</v>
      </c>
      <c r="AB10" s="98"/>
      <c r="AC10" s="98"/>
      <c r="AD10" s="98"/>
      <c r="AE10" s="98" t="s">
        <v>281</v>
      </c>
      <c r="AF10" s="98"/>
      <c r="AG10" s="98"/>
      <c r="AH10" s="98"/>
      <c r="AI10" s="98"/>
      <c r="AJ10" s="98"/>
      <c r="AK10" s="98"/>
      <c r="AL10" s="98"/>
      <c r="AM10" s="98"/>
      <c r="AN10"/>
    </row>
    <row r="11" spans="1:40" ht="16" x14ac:dyDescent="0.2">
      <c r="C11" s="28" t="s">
        <v>12</v>
      </c>
      <c r="D11" s="133">
        <f>AVERAGE(D9:D10)</f>
        <v>3.2800000160932541E-2</v>
      </c>
      <c r="E11" s="62">
        <f t="shared" ref="E11:I11" si="1">AVERAGE(E9:E10)</f>
        <v>9.4599999487400055E-2</v>
      </c>
      <c r="F11" s="62">
        <f t="shared" si="1"/>
        <v>0.13949999958276749</v>
      </c>
      <c r="G11" s="62">
        <f t="shared" si="1"/>
        <v>0.17419999837875366</v>
      </c>
      <c r="H11" s="62">
        <f t="shared" si="1"/>
        <v>0.21445000171661377</v>
      </c>
      <c r="I11" s="62">
        <f t="shared" si="1"/>
        <v>0.39564999938011169</v>
      </c>
      <c r="J11" s="62">
        <f>AVERAGE(J9:J10)</f>
        <v>0.12545000016689301</v>
      </c>
      <c r="K11" s="134">
        <f>AVERAGE(K9:K10)</f>
        <v>0.11250000074505806</v>
      </c>
      <c r="L11" s="62">
        <f>AVERAGE(L9:L10)</f>
        <v>0.38299998641014099</v>
      </c>
      <c r="M11" s="62">
        <f>AVERAGE(M9:M10)</f>
        <v>3.4549999982118607E-2</v>
      </c>
      <c r="Q11" s="6">
        <v>7.6300002634525299E-2</v>
      </c>
      <c r="R11" s="6">
        <f t="shared" si="0"/>
        <v>4.3300002813339233E-2</v>
      </c>
      <c r="S11" s="6">
        <v>31.25</v>
      </c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/>
    </row>
    <row r="12" spans="1:40" ht="16" x14ac:dyDescent="0.2">
      <c r="A12" s="6" t="s">
        <v>161</v>
      </c>
      <c r="C12" s="135" t="s">
        <v>80</v>
      </c>
      <c r="D12" s="35">
        <f>D11-$Q$13</f>
        <v>-1.9999966025352478E-4</v>
      </c>
      <c r="E12" s="6">
        <f t="shared" ref="E12:I12" si="2">E11-$Q$13</f>
        <v>6.1599999666213989E-2</v>
      </c>
      <c r="F12" s="6">
        <f t="shared" si="2"/>
        <v>0.10649999976158142</v>
      </c>
      <c r="G12" s="6">
        <f t="shared" si="2"/>
        <v>0.1411999985575676</v>
      </c>
      <c r="H12" s="6">
        <f t="shared" si="2"/>
        <v>0.1814500018954277</v>
      </c>
      <c r="I12" s="6">
        <f t="shared" si="2"/>
        <v>0.36264999955892563</v>
      </c>
      <c r="J12" s="6">
        <f>J11-$Q$13</f>
        <v>9.245000034570694E-2</v>
      </c>
      <c r="K12" s="36">
        <f>K11-$Q$13</f>
        <v>7.9500000923871994E-2</v>
      </c>
      <c r="L12" s="6">
        <f>L11-$Q$13</f>
        <v>0.34999998658895493</v>
      </c>
      <c r="M12" s="6">
        <f>M11-$Q$13</f>
        <v>1.5500001609325409E-3</v>
      </c>
      <c r="Q12" s="6">
        <v>5.4200001060962677E-2</v>
      </c>
      <c r="R12" s="6">
        <f t="shared" si="0"/>
        <v>2.1200001239776611E-2</v>
      </c>
      <c r="S12" s="6">
        <v>15.625</v>
      </c>
      <c r="AA12" s="98" t="s">
        <v>276</v>
      </c>
      <c r="AB12" s="98"/>
      <c r="AC12" s="98"/>
      <c r="AD12" s="98"/>
      <c r="AE12" s="98">
        <v>1</v>
      </c>
      <c r="AF12" s="98" t="s">
        <v>277</v>
      </c>
      <c r="AG12" s="98"/>
      <c r="AH12" s="98"/>
      <c r="AI12" s="98"/>
      <c r="AJ12" s="98"/>
      <c r="AK12" s="98"/>
      <c r="AL12" s="98"/>
      <c r="AM12" s="98"/>
      <c r="AN12"/>
    </row>
    <row r="13" spans="1:40" s="41" customFormat="1" ht="16" x14ac:dyDescent="0.2">
      <c r="A13" s="41" t="s">
        <v>151</v>
      </c>
      <c r="C13" s="28" t="s">
        <v>18</v>
      </c>
      <c r="D13" s="35">
        <f>D11*492.98</f>
        <v>16.169744079336525</v>
      </c>
      <c r="E13" s="35">
        <f t="shared" ref="E13:M13" si="3">E11*492.98</f>
        <v>46.635907747298482</v>
      </c>
      <c r="F13" s="35">
        <f t="shared" si="3"/>
        <v>68.770709794312722</v>
      </c>
      <c r="G13" s="35">
        <f t="shared" si="3"/>
        <v>85.877115200757984</v>
      </c>
      <c r="H13" s="35">
        <f t="shared" si="3"/>
        <v>105.71956184625625</v>
      </c>
      <c r="I13" s="35">
        <f t="shared" si="3"/>
        <v>195.04753669440748</v>
      </c>
      <c r="J13" s="35">
        <f t="shared" si="3"/>
        <v>61.844341082274916</v>
      </c>
      <c r="K13" s="35">
        <f t="shared" si="3"/>
        <v>55.460250367298727</v>
      </c>
      <c r="L13" s="35">
        <f t="shared" si="3"/>
        <v>188.81133330047132</v>
      </c>
      <c r="M13" s="35">
        <f t="shared" si="3"/>
        <v>17.032458991184832</v>
      </c>
      <c r="Q13" s="41">
        <v>3.2999999821186066E-2</v>
      </c>
      <c r="R13" s="41">
        <f t="shared" si="0"/>
        <v>0</v>
      </c>
      <c r="S13" s="41">
        <v>0</v>
      </c>
      <c r="AA13" s="98" t="s">
        <v>278</v>
      </c>
      <c r="AB13" s="98"/>
      <c r="AC13" s="98"/>
      <c r="AD13" s="98"/>
      <c r="AE13" s="98">
        <v>1</v>
      </c>
      <c r="AF13" s="98" t="s">
        <v>279</v>
      </c>
      <c r="AG13" s="98"/>
      <c r="AH13" s="98"/>
      <c r="AI13" s="98"/>
      <c r="AJ13" s="98"/>
      <c r="AK13" s="98"/>
      <c r="AL13" s="98"/>
      <c r="AM13" s="98"/>
      <c r="AN13"/>
    </row>
    <row r="14" spans="1:40" s="41" customFormat="1" ht="16" x14ac:dyDescent="0.2">
      <c r="C14" s="28" t="s">
        <v>81</v>
      </c>
      <c r="D14" s="35">
        <f>D13*D8</f>
        <v>16.169744079336525</v>
      </c>
      <c r="E14" s="35">
        <f t="shared" ref="E14:M14" si="4">E13*E8</f>
        <v>233.17953873649242</v>
      </c>
      <c r="F14" s="35">
        <f t="shared" si="4"/>
        <v>343.85354897156361</v>
      </c>
      <c r="G14" s="35">
        <f t="shared" si="4"/>
        <v>429.38557600378994</v>
      </c>
      <c r="H14" s="35">
        <f t="shared" si="4"/>
        <v>528.5978092312813</v>
      </c>
      <c r="I14" s="35">
        <f t="shared" si="4"/>
        <v>975.23768347203736</v>
      </c>
      <c r="J14" s="35">
        <f t="shared" si="4"/>
        <v>309.22170541137456</v>
      </c>
      <c r="K14" s="35">
        <f t="shared" si="4"/>
        <v>277.30125183649363</v>
      </c>
      <c r="L14" s="35">
        <f t="shared" si="4"/>
        <v>944.05666650235662</v>
      </c>
      <c r="M14" s="35">
        <f t="shared" si="4"/>
        <v>17.032458991184832</v>
      </c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/>
    </row>
    <row r="15" spans="1:40" s="41" customFormat="1" ht="16" x14ac:dyDescent="0.2">
      <c r="C15" s="28" t="s">
        <v>388</v>
      </c>
      <c r="D15" s="136">
        <f>D14*1.1</f>
        <v>17.786718487270178</v>
      </c>
      <c r="E15" s="137">
        <f t="shared" ref="E15:I15" si="5">E14*1.1</f>
        <v>256.49749261014171</v>
      </c>
      <c r="F15" s="137">
        <f t="shared" si="5"/>
        <v>378.23890386872</v>
      </c>
      <c r="G15" s="137">
        <f t="shared" si="5"/>
        <v>472.32413360416899</v>
      </c>
      <c r="H15" s="137">
        <f t="shared" si="5"/>
        <v>581.45759015440944</v>
      </c>
      <c r="I15" s="137">
        <f t="shared" si="5"/>
        <v>1072.7614518192411</v>
      </c>
      <c r="J15" s="137">
        <f>J14*1.1</f>
        <v>340.14387595251202</v>
      </c>
      <c r="K15" s="138">
        <f>K14*1.1</f>
        <v>305.031377020143</v>
      </c>
      <c r="L15" s="137">
        <f>L14*1.1</f>
        <v>1038.4623331525925</v>
      </c>
      <c r="M15" s="137">
        <f>M14*1.1</f>
        <v>18.735704890303317</v>
      </c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/>
    </row>
    <row r="16" spans="1:40" ht="16" x14ac:dyDescent="0.2">
      <c r="A16" s="6" t="s">
        <v>160</v>
      </c>
      <c r="B16" s="6" t="s">
        <v>9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AA16" s="98" t="s">
        <v>192</v>
      </c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/>
    </row>
    <row r="17" spans="1:40" ht="16" x14ac:dyDescent="0.2">
      <c r="A17" s="6" t="s">
        <v>389</v>
      </c>
      <c r="D17" s="111" t="s">
        <v>48</v>
      </c>
      <c r="E17" s="112" t="s">
        <v>55</v>
      </c>
      <c r="F17" s="112">
        <v>6.25E-2</v>
      </c>
      <c r="G17" s="112">
        <v>0.125</v>
      </c>
      <c r="H17" s="112">
        <v>0.25</v>
      </c>
      <c r="I17" s="112">
        <v>0.5</v>
      </c>
      <c r="J17" s="112" t="s">
        <v>60</v>
      </c>
      <c r="K17" s="113" t="s">
        <v>61</v>
      </c>
      <c r="L17" s="112" t="s">
        <v>62</v>
      </c>
      <c r="M17" s="112" t="s">
        <v>1</v>
      </c>
      <c r="AA17" s="98" t="s">
        <v>21</v>
      </c>
      <c r="AB17" s="98"/>
      <c r="AC17" s="98"/>
      <c r="AD17" s="98"/>
      <c r="AE17" s="98" t="s">
        <v>22</v>
      </c>
      <c r="AF17" s="98"/>
      <c r="AG17" s="98"/>
      <c r="AH17" s="98"/>
      <c r="AI17" s="98"/>
      <c r="AJ17" s="98"/>
      <c r="AK17" s="98"/>
      <c r="AL17" s="98"/>
      <c r="AM17" s="98"/>
      <c r="AN17"/>
    </row>
    <row r="18" spans="1:40" ht="16" x14ac:dyDescent="0.2">
      <c r="A18" s="6" t="s">
        <v>170</v>
      </c>
      <c r="D18" s="114"/>
      <c r="E18" s="115"/>
      <c r="F18" s="115"/>
      <c r="G18" s="115"/>
      <c r="H18" s="115"/>
      <c r="I18" s="115"/>
      <c r="J18" s="115"/>
      <c r="K18" s="115"/>
      <c r="L18" s="115"/>
      <c r="M18" s="116"/>
      <c r="AA18" s="98" t="s">
        <v>23</v>
      </c>
      <c r="AB18" s="98"/>
      <c r="AC18" s="98"/>
      <c r="AD18" s="98"/>
      <c r="AE18" s="98">
        <v>450</v>
      </c>
      <c r="AF18" s="98" t="s">
        <v>24</v>
      </c>
      <c r="AG18" s="98"/>
      <c r="AH18" s="98"/>
      <c r="AI18" s="98"/>
      <c r="AJ18" s="98"/>
      <c r="AK18" s="98"/>
      <c r="AL18" s="98"/>
      <c r="AM18" s="98"/>
      <c r="AN18"/>
    </row>
    <row r="19" spans="1:40" ht="16" x14ac:dyDescent="0.2">
      <c r="AA19" s="98" t="s">
        <v>25</v>
      </c>
      <c r="AB19" s="98"/>
      <c r="AC19" s="98"/>
      <c r="AD19" s="98"/>
      <c r="AE19" s="98">
        <v>10</v>
      </c>
      <c r="AF19" s="98" t="s">
        <v>24</v>
      </c>
      <c r="AG19" s="98"/>
      <c r="AH19" s="98"/>
      <c r="AI19" s="98"/>
      <c r="AJ19" s="98"/>
      <c r="AK19" s="98"/>
      <c r="AL19" s="98"/>
      <c r="AM19" s="98"/>
      <c r="AN19"/>
    </row>
    <row r="20" spans="1:40" ht="16" x14ac:dyDescent="0.2">
      <c r="A20" s="6" t="s">
        <v>178</v>
      </c>
      <c r="D20" s="6">
        <v>1</v>
      </c>
      <c r="E20" s="6">
        <v>5</v>
      </c>
      <c r="F20" s="6">
        <v>5</v>
      </c>
      <c r="G20" s="6">
        <v>5</v>
      </c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>
        <v>1</v>
      </c>
      <c r="AA20" s="98" t="s">
        <v>26</v>
      </c>
      <c r="AB20" s="98"/>
      <c r="AC20" s="98"/>
      <c r="AD20" s="98"/>
      <c r="AE20" s="98">
        <v>570</v>
      </c>
      <c r="AF20" s="98" t="s">
        <v>24</v>
      </c>
      <c r="AG20" s="98"/>
      <c r="AH20" s="98"/>
      <c r="AI20" s="98"/>
      <c r="AJ20" s="98"/>
      <c r="AK20" s="98"/>
      <c r="AL20" s="98"/>
      <c r="AM20" s="98"/>
      <c r="AN20"/>
    </row>
    <row r="21" spans="1:40" ht="16" x14ac:dyDescent="0.2">
      <c r="C21" s="28" t="s">
        <v>19</v>
      </c>
      <c r="D21" s="29">
        <v>3.5000000149011612E-2</v>
      </c>
      <c r="E21" s="30">
        <v>8.5100002586841583E-2</v>
      </c>
      <c r="F21" s="30">
        <v>0.13940000534057617</v>
      </c>
      <c r="G21" s="30">
        <v>0.1687999963760376</v>
      </c>
      <c r="H21" s="30">
        <v>0.24150000512599945</v>
      </c>
      <c r="I21" s="30">
        <v>0.37360000610351562</v>
      </c>
      <c r="J21" s="30">
        <v>0.13529999554157257</v>
      </c>
      <c r="K21" s="31">
        <v>0.10809999704360962</v>
      </c>
      <c r="L21" s="30">
        <v>0.3628000020980835</v>
      </c>
      <c r="M21" s="30">
        <v>3.5799998790025711E-2</v>
      </c>
      <c r="AA21" s="98" t="s">
        <v>25</v>
      </c>
      <c r="AB21" s="98"/>
      <c r="AC21" s="98"/>
      <c r="AD21" s="98"/>
      <c r="AE21" s="98">
        <v>10</v>
      </c>
      <c r="AF21" s="98" t="s">
        <v>24</v>
      </c>
      <c r="AG21" s="98"/>
      <c r="AH21" s="98"/>
      <c r="AI21" s="98"/>
      <c r="AJ21" s="98"/>
      <c r="AK21" s="98"/>
      <c r="AL21" s="98"/>
      <c r="AM21" s="98"/>
      <c r="AN21"/>
    </row>
    <row r="22" spans="1:40" ht="16" x14ac:dyDescent="0.2">
      <c r="C22" s="28" t="s">
        <v>20</v>
      </c>
      <c r="D22" s="32">
        <v>3.3900000154972076E-2</v>
      </c>
      <c r="E22" s="33">
        <v>8.3800002932548523E-2</v>
      </c>
      <c r="F22" s="33">
        <v>0.13480000197887421</v>
      </c>
      <c r="G22" s="33">
        <v>0.17049999535083771</v>
      </c>
      <c r="H22" s="33">
        <v>0.24379999935626984</v>
      </c>
      <c r="I22" s="33">
        <v>0.3377000093460083</v>
      </c>
      <c r="J22" s="33">
        <v>0.12590000033378601</v>
      </c>
      <c r="K22" s="34">
        <v>0.10589999705553055</v>
      </c>
      <c r="L22" s="33">
        <v>0.38289999961853027</v>
      </c>
      <c r="M22" s="33">
        <v>3.1300000846385956E-2</v>
      </c>
      <c r="AA22" s="98" t="s">
        <v>28</v>
      </c>
      <c r="AB22" s="98"/>
      <c r="AC22" s="98"/>
      <c r="AD22" s="98"/>
      <c r="AE22" s="98">
        <v>25</v>
      </c>
      <c r="AF22" s="98"/>
      <c r="AG22" s="98"/>
      <c r="AH22" s="98"/>
      <c r="AI22" s="98"/>
      <c r="AJ22" s="98"/>
      <c r="AK22" s="98"/>
      <c r="AL22" s="98"/>
      <c r="AM22" s="98"/>
      <c r="AN22"/>
    </row>
    <row r="23" spans="1:40" ht="16" x14ac:dyDescent="0.2">
      <c r="C23" s="28" t="s">
        <v>12</v>
      </c>
      <c r="D23" s="133">
        <f>AVERAGE(D21:D22)</f>
        <v>3.4450000151991844E-2</v>
      </c>
      <c r="E23" s="62">
        <f t="shared" ref="E23:I23" si="6">AVERAGE(E21:E22)</f>
        <v>8.4450002759695053E-2</v>
      </c>
      <c r="F23" s="62">
        <f t="shared" si="6"/>
        <v>0.13710000365972519</v>
      </c>
      <c r="G23" s="62">
        <f t="shared" si="6"/>
        <v>0.16964999586343765</v>
      </c>
      <c r="H23" s="62">
        <f t="shared" si="6"/>
        <v>0.24265000224113464</v>
      </c>
      <c r="I23" s="62">
        <f t="shared" si="6"/>
        <v>0.35565000772476196</v>
      </c>
      <c r="J23" s="62">
        <f>AVERAGE(J21:J22)</f>
        <v>0.13059999793767929</v>
      </c>
      <c r="K23" s="134">
        <f t="shared" ref="K23" si="7">AVERAGE(K21:K22)</f>
        <v>0.10699999704957008</v>
      </c>
      <c r="L23" s="62">
        <f>AVERAGE(L21:L22)</f>
        <v>0.37285000085830688</v>
      </c>
      <c r="M23" s="62">
        <f>AVERAGE(M21:M22)</f>
        <v>3.3549999818205833E-2</v>
      </c>
      <c r="AA23" s="98" t="s">
        <v>30</v>
      </c>
      <c r="AB23" s="98"/>
      <c r="AC23" s="98"/>
      <c r="AD23" s="98"/>
      <c r="AE23" s="98">
        <v>0</v>
      </c>
      <c r="AF23" s="98" t="s">
        <v>31</v>
      </c>
      <c r="AG23" s="98"/>
      <c r="AH23" s="98"/>
      <c r="AI23" s="98"/>
      <c r="AJ23" s="98"/>
      <c r="AK23" s="98"/>
      <c r="AL23" s="98"/>
      <c r="AM23" s="98"/>
      <c r="AN23"/>
    </row>
    <row r="24" spans="1:40" ht="16" x14ac:dyDescent="0.2">
      <c r="C24" s="28" t="s">
        <v>80</v>
      </c>
      <c r="D24" s="133">
        <f>D23-$Q$13</f>
        <v>1.4500003308057785E-3</v>
      </c>
      <c r="E24" s="62">
        <f t="shared" ref="E24:I24" si="8">E23-$Q$13</f>
        <v>5.1450002938508987E-2</v>
      </c>
      <c r="F24" s="62">
        <f t="shared" si="8"/>
        <v>0.10410000383853912</v>
      </c>
      <c r="G24" s="62">
        <f t="shared" si="8"/>
        <v>0.13664999604225159</v>
      </c>
      <c r="H24" s="62">
        <f t="shared" si="8"/>
        <v>0.20965000241994858</v>
      </c>
      <c r="I24" s="62">
        <f t="shared" si="8"/>
        <v>0.3226500079035759</v>
      </c>
      <c r="J24" s="62">
        <f>J23-$Q$13</f>
        <v>9.7599998116493225E-2</v>
      </c>
      <c r="K24" s="134">
        <f t="shared" ref="K24" si="9">K23-$Q$13</f>
        <v>7.3999997228384018E-2</v>
      </c>
      <c r="L24" s="62">
        <f>L23-$Q$13</f>
        <v>0.33985000103712082</v>
      </c>
      <c r="M24" s="62">
        <f>M23-$Q$13</f>
        <v>5.4999999701976776E-4</v>
      </c>
      <c r="AA24" s="97" t="s">
        <v>32</v>
      </c>
      <c r="AB24" s="167">
        <v>43292.746435185189</v>
      </c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/>
    </row>
    <row r="25" spans="1:40" ht="16" x14ac:dyDescent="0.2">
      <c r="C25" s="28" t="s">
        <v>18</v>
      </c>
      <c r="D25" s="133">
        <f>D23*492.98</f>
        <v>16.98316107492894</v>
      </c>
      <c r="E25" s="133">
        <f t="shared" ref="E25:M25" si="10">E23*492.98</f>
        <v>41.632162360474467</v>
      </c>
      <c r="F25" s="133">
        <f t="shared" si="10"/>
        <v>67.58755980417132</v>
      </c>
      <c r="G25" s="133">
        <f t="shared" si="10"/>
        <v>83.634054960757496</v>
      </c>
      <c r="H25" s="133">
        <f t="shared" si="10"/>
        <v>119.62159810483456</v>
      </c>
      <c r="I25" s="133">
        <f t="shared" si="10"/>
        <v>175.32834080815317</v>
      </c>
      <c r="J25" s="133">
        <f t="shared" si="10"/>
        <v>64.383186983317145</v>
      </c>
      <c r="K25" s="133">
        <f t="shared" si="10"/>
        <v>52.748858545497065</v>
      </c>
      <c r="L25" s="133">
        <f t="shared" si="10"/>
        <v>183.80759342312814</v>
      </c>
      <c r="M25" s="133">
        <f t="shared" si="10"/>
        <v>16.539478910379113</v>
      </c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/>
    </row>
    <row r="26" spans="1:40" ht="16" x14ac:dyDescent="0.2">
      <c r="C26" s="28" t="s">
        <v>81</v>
      </c>
      <c r="D26" s="133">
        <f>D25*D20</f>
        <v>16.98316107492894</v>
      </c>
      <c r="E26" s="133">
        <f t="shared" ref="E26:M26" si="11">E25*E20</f>
        <v>208.16081180237234</v>
      </c>
      <c r="F26" s="133">
        <f t="shared" si="11"/>
        <v>337.93779902085657</v>
      </c>
      <c r="G26" s="133">
        <f t="shared" si="11"/>
        <v>418.17027480378749</v>
      </c>
      <c r="H26" s="133">
        <f t="shared" si="11"/>
        <v>598.10799052417281</v>
      </c>
      <c r="I26" s="133">
        <f t="shared" si="11"/>
        <v>876.64170404076583</v>
      </c>
      <c r="J26" s="133">
        <f t="shared" si="11"/>
        <v>321.91593491658574</v>
      </c>
      <c r="K26" s="133">
        <f t="shared" si="11"/>
        <v>263.74429272748534</v>
      </c>
      <c r="L26" s="133">
        <f t="shared" si="11"/>
        <v>919.03796711564064</v>
      </c>
      <c r="M26" s="133">
        <f t="shared" si="11"/>
        <v>16.539478910379113</v>
      </c>
      <c r="AA26" s="98"/>
      <c r="AB26" s="98" t="s">
        <v>392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/>
    </row>
    <row r="27" spans="1:40" ht="16" x14ac:dyDescent="0.2">
      <c r="C27" s="28" t="s">
        <v>82</v>
      </c>
      <c r="D27" s="136">
        <f>D26*1.1</f>
        <v>18.681477182421837</v>
      </c>
      <c r="E27" s="137">
        <f t="shared" ref="E27:I27" si="12">E26*1.1</f>
        <v>228.9768929826096</v>
      </c>
      <c r="F27" s="137">
        <f t="shared" si="12"/>
        <v>371.73157892294228</v>
      </c>
      <c r="G27" s="137">
        <f t="shared" si="12"/>
        <v>459.98730228416628</v>
      </c>
      <c r="H27" s="137">
        <f t="shared" si="12"/>
        <v>657.91878957659014</v>
      </c>
      <c r="I27" s="137">
        <f t="shared" si="12"/>
        <v>964.30587444484252</v>
      </c>
      <c r="J27" s="137">
        <f>J26*1.1</f>
        <v>354.10752840824432</v>
      </c>
      <c r="K27" s="138">
        <f>K26*1.1</f>
        <v>290.1187220002339</v>
      </c>
      <c r="L27" s="137">
        <f>L26*1.1</f>
        <v>1010.9417638272048</v>
      </c>
      <c r="M27" s="137">
        <f>M26*1.1</f>
        <v>18.193426801417026</v>
      </c>
      <c r="AA27" s="98" t="s">
        <v>35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/>
    </row>
    <row r="28" spans="1:40" ht="16" x14ac:dyDescent="0.2"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AA28" s="98" t="s">
        <v>37</v>
      </c>
      <c r="AB28" s="97">
        <v>1</v>
      </c>
      <c r="AC28" s="97">
        <v>2</v>
      </c>
      <c r="AD28" s="97">
        <v>3</v>
      </c>
      <c r="AE28" s="97">
        <v>4</v>
      </c>
      <c r="AF28" s="97">
        <v>5</v>
      </c>
      <c r="AG28" s="97">
        <v>6</v>
      </c>
      <c r="AH28" s="97">
        <v>7</v>
      </c>
      <c r="AI28" s="97">
        <v>8</v>
      </c>
      <c r="AJ28" s="97">
        <v>9</v>
      </c>
      <c r="AK28" s="97">
        <v>10</v>
      </c>
      <c r="AL28" s="97">
        <v>11</v>
      </c>
      <c r="AM28" s="97">
        <v>12</v>
      </c>
      <c r="AN28"/>
    </row>
    <row r="29" spans="1:40" ht="16" x14ac:dyDescent="0.2">
      <c r="D29" s="42"/>
      <c r="E29" s="41"/>
      <c r="F29" s="41"/>
      <c r="G29" s="41"/>
      <c r="H29" s="41"/>
      <c r="I29" s="41"/>
      <c r="J29" s="41"/>
      <c r="K29" s="43"/>
      <c r="L29" s="41"/>
      <c r="M29" s="41"/>
      <c r="AA29" s="97" t="s">
        <v>39</v>
      </c>
      <c r="AB29" s="98">
        <v>7.2599999999999998E-2</v>
      </c>
      <c r="AC29" s="98">
        <v>0.1336</v>
      </c>
      <c r="AD29" s="98">
        <v>0.17949999999999999</v>
      </c>
      <c r="AE29" s="98">
        <v>0.21479999999999999</v>
      </c>
      <c r="AF29" s="98">
        <v>0.2545</v>
      </c>
      <c r="AG29" s="98">
        <v>0.43149999999999999</v>
      </c>
      <c r="AH29" s="98">
        <v>7.4700000000000003E-2</v>
      </c>
      <c r="AI29" s="98">
        <v>0.41320000000000001</v>
      </c>
      <c r="AJ29" s="98">
        <v>0.40410000000000001</v>
      </c>
      <c r="AK29" s="98">
        <v>0.1484</v>
      </c>
      <c r="AL29" s="98">
        <v>2.1655000000000002</v>
      </c>
      <c r="AM29" s="98">
        <v>0.16569999999999999</v>
      </c>
      <c r="AN29"/>
    </row>
    <row r="30" spans="1:40" s="66" customFormat="1" ht="16" x14ac:dyDescent="0.2">
      <c r="C30" s="28"/>
      <c r="D30" s="139"/>
      <c r="E30" s="140"/>
      <c r="F30" s="140"/>
      <c r="G30" s="140"/>
      <c r="H30" s="140"/>
      <c r="I30" s="140"/>
      <c r="J30" s="140"/>
      <c r="K30" s="141"/>
      <c r="L30" s="140"/>
      <c r="M30" s="140"/>
      <c r="AA30" s="97" t="s">
        <v>40</v>
      </c>
      <c r="AB30" s="98">
        <v>7.0800000000000002E-2</v>
      </c>
      <c r="AC30" s="98">
        <v>0.13500000000000001</v>
      </c>
      <c r="AD30" s="98">
        <v>0.17780000000000001</v>
      </c>
      <c r="AE30" s="98">
        <v>0.21870000000000001</v>
      </c>
      <c r="AF30" s="98">
        <v>0.25530000000000003</v>
      </c>
      <c r="AG30" s="98">
        <v>0.44450000000000001</v>
      </c>
      <c r="AH30" s="98">
        <v>7.2900000000000006E-2</v>
      </c>
      <c r="AI30" s="98">
        <v>0.4385</v>
      </c>
      <c r="AJ30" s="98">
        <v>0.42259999999999998</v>
      </c>
      <c r="AK30" s="98">
        <v>0.15490000000000001</v>
      </c>
      <c r="AL30" s="98">
        <v>1.016</v>
      </c>
      <c r="AM30" s="98">
        <v>0.1149</v>
      </c>
      <c r="AN30"/>
    </row>
    <row r="31" spans="1:40" s="66" customFormat="1" ht="16" x14ac:dyDescent="0.2">
      <c r="C31" s="44" t="s">
        <v>83</v>
      </c>
      <c r="D31" s="45">
        <f>AVERAGE(D15,D27)</f>
        <v>18.234097834846008</v>
      </c>
      <c r="E31" s="45">
        <f>AVERAGE(E15,E27)</f>
        <v>242.73719279637567</v>
      </c>
      <c r="F31" s="45">
        <f>AVERAGE(F15,F27)</f>
        <v>374.98524139583117</v>
      </c>
      <c r="G31" s="45">
        <f>AVERAGE(G15,G27)</f>
        <v>466.15571794416763</v>
      </c>
      <c r="H31" s="45">
        <f>AVERAGE(H15,H27)</f>
        <v>619.68818986549979</v>
      </c>
      <c r="I31" s="45">
        <f>AVERAGE(I15,I27)</f>
        <v>1018.5336631320417</v>
      </c>
      <c r="J31" s="45">
        <f>AVERAGE(M15,M27)</f>
        <v>18.464565845860172</v>
      </c>
      <c r="K31" s="45">
        <f>AVERAGE(L15,L27)</f>
        <v>1024.7020484898985</v>
      </c>
      <c r="L31" s="45">
        <f>AVERAGE(J15,J27)</f>
        <v>347.1257021803782</v>
      </c>
      <c r="M31" s="45">
        <f>AVERAGE(K15,K27)</f>
        <v>297.57504951018848</v>
      </c>
      <c r="AA31" s="97" t="s">
        <v>41</v>
      </c>
      <c r="AB31" s="98">
        <v>7.6499999999999999E-2</v>
      </c>
      <c r="AC31" s="98">
        <v>0.1235</v>
      </c>
      <c r="AD31" s="98">
        <v>0.1794</v>
      </c>
      <c r="AE31" s="98">
        <v>0.20860000000000001</v>
      </c>
      <c r="AF31" s="98">
        <v>0.28089999999999998</v>
      </c>
      <c r="AG31" s="98">
        <v>0.41289999999999999</v>
      </c>
      <c r="AH31" s="98">
        <v>7.3999999999999996E-2</v>
      </c>
      <c r="AI31" s="98">
        <v>0.16270000000000001</v>
      </c>
      <c r="AJ31" s="98">
        <v>0.1734</v>
      </c>
      <c r="AK31" s="98">
        <v>0.14630000000000001</v>
      </c>
      <c r="AL31" s="98">
        <v>0.49220000000000003</v>
      </c>
      <c r="AM31" s="98">
        <v>0.10150000000000001</v>
      </c>
      <c r="AN31"/>
    </row>
    <row r="32" spans="1:40" s="66" customFormat="1" ht="16" x14ac:dyDescent="0.2">
      <c r="C32" s="108"/>
      <c r="AA32" s="97" t="s">
        <v>42</v>
      </c>
      <c r="AB32" s="98">
        <v>7.6399999999999996E-2</v>
      </c>
      <c r="AC32" s="98">
        <v>0.12429999999999999</v>
      </c>
      <c r="AD32" s="98">
        <v>0.17449999999999999</v>
      </c>
      <c r="AE32" s="98">
        <v>0.20849999999999999</v>
      </c>
      <c r="AF32" s="98">
        <v>0.28210000000000002</v>
      </c>
      <c r="AG32" s="98">
        <v>0.37640000000000001</v>
      </c>
      <c r="AH32" s="98">
        <v>6.88E-2</v>
      </c>
      <c r="AI32" s="98">
        <v>0.16470000000000001</v>
      </c>
      <c r="AJ32" s="98">
        <v>0.16370000000000001</v>
      </c>
      <c r="AK32" s="98">
        <v>0.1439</v>
      </c>
      <c r="AL32" s="98">
        <v>0.26100000000000001</v>
      </c>
      <c r="AM32" s="98">
        <v>7.17E-2</v>
      </c>
      <c r="AN32"/>
    </row>
    <row r="33" spans="1:40" s="66" customFormat="1" ht="16" x14ac:dyDescent="0.2">
      <c r="C33" s="108" t="s">
        <v>390</v>
      </c>
      <c r="D33" s="66">
        <f>D31/$E$31</f>
        <v>7.5118681339212817E-2</v>
      </c>
      <c r="E33" s="66">
        <f t="shared" ref="E33:M33" si="13">E31/$E$31</f>
        <v>1</v>
      </c>
      <c r="F33" s="66">
        <f t="shared" si="13"/>
        <v>1.5448198814361098</v>
      </c>
      <c r="G33" s="66">
        <f t="shared" si="13"/>
        <v>1.9204132361175097</v>
      </c>
      <c r="H33" s="66">
        <f t="shared" si="13"/>
        <v>2.5529181693443084</v>
      </c>
      <c r="I33" s="66">
        <f t="shared" si="13"/>
        <v>4.196034614219406</v>
      </c>
      <c r="J33" s="66">
        <f t="shared" si="13"/>
        <v>7.6068136214088519E-2</v>
      </c>
      <c r="K33" s="66">
        <f t="shared" si="13"/>
        <v>4.2214463992318132</v>
      </c>
      <c r="L33" s="66">
        <f t="shared" si="13"/>
        <v>1.4300474442397078</v>
      </c>
      <c r="M33" s="66">
        <f t="shared" si="13"/>
        <v>1.2259145213062363</v>
      </c>
      <c r="AA33" s="97" t="s">
        <v>43</v>
      </c>
      <c r="AB33" s="98">
        <v>7.0800000000000002E-2</v>
      </c>
      <c r="AC33" s="98">
        <v>0.1492</v>
      </c>
      <c r="AD33" s="98">
        <v>9.4399999999999998E-2</v>
      </c>
      <c r="AE33" s="98">
        <v>0.25069999999999998</v>
      </c>
      <c r="AF33" s="98">
        <v>6.8400000000000002E-2</v>
      </c>
      <c r="AG33" s="98">
        <v>0.2336</v>
      </c>
      <c r="AH33" s="98">
        <v>9.4100000000000003E-2</v>
      </c>
      <c r="AI33" s="98">
        <v>0.27989999999999998</v>
      </c>
      <c r="AJ33" s="98">
        <v>6.8000000000000005E-2</v>
      </c>
      <c r="AK33" s="98">
        <v>0.1416</v>
      </c>
      <c r="AL33" s="98">
        <v>8.1000000000000003E-2</v>
      </c>
      <c r="AM33" s="98">
        <v>0.17680000000000001</v>
      </c>
      <c r="AN33"/>
    </row>
    <row r="34" spans="1:40" s="66" customFormat="1" ht="16" x14ac:dyDescent="0.2">
      <c r="C34" s="108"/>
      <c r="AA34" s="97" t="s">
        <v>44</v>
      </c>
      <c r="AB34" s="98">
        <v>7.0499999999999993E-2</v>
      </c>
      <c r="AC34" s="98">
        <v>0.14810000000000001</v>
      </c>
      <c r="AD34" s="98">
        <v>9.3399999999999997E-2</v>
      </c>
      <c r="AE34" s="98">
        <v>0.253</v>
      </c>
      <c r="AF34" s="98">
        <v>6.8199999999999997E-2</v>
      </c>
      <c r="AG34" s="98">
        <v>0.2346</v>
      </c>
      <c r="AH34" s="98">
        <v>9.3600000000000003E-2</v>
      </c>
      <c r="AI34" s="98">
        <v>0.28739999999999999</v>
      </c>
      <c r="AJ34" s="98">
        <v>7.1599999999999997E-2</v>
      </c>
      <c r="AK34" s="98">
        <v>0.14230000000000001</v>
      </c>
      <c r="AL34" s="98">
        <v>8.1100000000000005E-2</v>
      </c>
      <c r="AM34" s="98">
        <v>0.17799999999999999</v>
      </c>
      <c r="AN34"/>
    </row>
    <row r="35" spans="1:40" s="66" customFormat="1" ht="16" x14ac:dyDescent="0.2"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AA35" s="97" t="s">
        <v>45</v>
      </c>
      <c r="AB35" s="98">
        <v>7.0099999999999996E-2</v>
      </c>
      <c r="AC35" s="98">
        <v>9.35E-2</v>
      </c>
      <c r="AD35" s="98">
        <v>7.9799999999999996E-2</v>
      </c>
      <c r="AE35" s="98">
        <v>9.6799999999999997E-2</v>
      </c>
      <c r="AF35" s="98">
        <v>7.0099999999999996E-2</v>
      </c>
      <c r="AG35" s="98">
        <v>0.1119</v>
      </c>
      <c r="AH35" s="98">
        <v>7.9799999999999996E-2</v>
      </c>
      <c r="AI35" s="98">
        <v>9.9599999999999994E-2</v>
      </c>
      <c r="AJ35" s="98">
        <v>7.0000000000000007E-2</v>
      </c>
      <c r="AK35" s="98">
        <v>9.1700000000000004E-2</v>
      </c>
      <c r="AL35" s="98">
        <v>7.6100000000000001E-2</v>
      </c>
      <c r="AM35" s="98">
        <v>9.1399999999999995E-2</v>
      </c>
      <c r="AN35"/>
    </row>
    <row r="36" spans="1:40" s="66" customFormat="1" ht="16" x14ac:dyDescent="0.2">
      <c r="C36" s="108"/>
      <c r="AA36" s="97" t="s">
        <v>46</v>
      </c>
      <c r="AB36" s="98">
        <v>7.0999999999999994E-2</v>
      </c>
      <c r="AC36" s="98">
        <v>9.3399999999999997E-2</v>
      </c>
      <c r="AD36" s="98">
        <v>7.7200000000000005E-2</v>
      </c>
      <c r="AE36" s="98">
        <v>9.8599999999999993E-2</v>
      </c>
      <c r="AF36" s="98">
        <v>7.0099999999999996E-2</v>
      </c>
      <c r="AG36" s="98">
        <v>0.10920000000000001</v>
      </c>
      <c r="AH36" s="98">
        <v>7.9799999999999996E-2</v>
      </c>
      <c r="AI36" s="98">
        <v>0.1024</v>
      </c>
      <c r="AJ36" s="98">
        <v>7.4700000000000003E-2</v>
      </c>
      <c r="AK36" s="98">
        <v>9.2499999999999999E-2</v>
      </c>
      <c r="AL36" s="98">
        <v>7.6200000000000004E-2</v>
      </c>
      <c r="AM36" s="98">
        <v>9.4500000000000001E-2</v>
      </c>
      <c r="AN36"/>
    </row>
    <row r="37" spans="1:40" s="66" customFormat="1" ht="16" x14ac:dyDescent="0.2">
      <c r="A37" s="66" t="s">
        <v>166</v>
      </c>
      <c r="C37" s="108"/>
      <c r="AA37" s="97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/>
    </row>
    <row r="38" spans="1:40" s="66" customFormat="1" ht="16" x14ac:dyDescent="0.2">
      <c r="C38" s="108"/>
      <c r="AA38" s="97" t="s">
        <v>47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/>
    </row>
    <row r="39" spans="1:40" s="66" customFormat="1" ht="16" x14ac:dyDescent="0.2">
      <c r="A39" s="66" t="s">
        <v>155</v>
      </c>
      <c r="C39" s="108"/>
      <c r="AA39" s="97" t="s">
        <v>37</v>
      </c>
      <c r="AB39" s="98">
        <v>1</v>
      </c>
      <c r="AC39" s="98">
        <v>2</v>
      </c>
      <c r="AD39" s="98">
        <v>3</v>
      </c>
      <c r="AE39" s="98">
        <v>4</v>
      </c>
      <c r="AF39" s="98">
        <v>5</v>
      </c>
      <c r="AG39" s="98">
        <v>6</v>
      </c>
      <c r="AH39" s="98">
        <v>7</v>
      </c>
      <c r="AI39" s="98">
        <v>8</v>
      </c>
      <c r="AJ39" s="98">
        <v>9</v>
      </c>
      <c r="AK39" s="98">
        <v>10</v>
      </c>
      <c r="AL39" s="98">
        <v>11</v>
      </c>
      <c r="AM39" s="98">
        <v>12</v>
      </c>
      <c r="AN39"/>
    </row>
    <row r="40" spans="1:40" s="66" customFormat="1" ht="16" x14ac:dyDescent="0.2">
      <c r="C40" s="108"/>
      <c r="AA40" s="97" t="s">
        <v>39</v>
      </c>
      <c r="AB40" s="98">
        <v>3.9300000000000002E-2</v>
      </c>
      <c r="AC40" s="98">
        <v>4.0899999999999999E-2</v>
      </c>
      <c r="AD40" s="98">
        <v>3.9300000000000002E-2</v>
      </c>
      <c r="AE40" s="98">
        <v>4.3900000000000002E-2</v>
      </c>
      <c r="AF40" s="98">
        <v>4.2000000000000003E-2</v>
      </c>
      <c r="AG40" s="98">
        <v>3.9899999999999998E-2</v>
      </c>
      <c r="AH40" s="98">
        <v>3.9699999999999999E-2</v>
      </c>
      <c r="AI40" s="98">
        <v>4.1700000000000001E-2</v>
      </c>
      <c r="AJ40" s="98">
        <v>4.1200000000000001E-2</v>
      </c>
      <c r="AK40" s="98">
        <v>3.9399999999999998E-2</v>
      </c>
      <c r="AL40" s="98">
        <v>4.5499999999999999E-2</v>
      </c>
      <c r="AM40" s="98">
        <v>3.8800000000000001E-2</v>
      </c>
      <c r="AN40"/>
    </row>
    <row r="41" spans="1:40" s="66" customFormat="1" ht="16" x14ac:dyDescent="0.2">
      <c r="C41" s="108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R41" s="109"/>
      <c r="S41" s="109"/>
      <c r="T41" s="109"/>
      <c r="U41" s="109"/>
      <c r="AA41" s="97" t="s">
        <v>40</v>
      </c>
      <c r="AB41" s="98">
        <v>3.85E-2</v>
      </c>
      <c r="AC41" s="98">
        <v>3.8600000000000002E-2</v>
      </c>
      <c r="AD41" s="98">
        <v>3.9100000000000003E-2</v>
      </c>
      <c r="AE41" s="98">
        <v>4.1099999999999998E-2</v>
      </c>
      <c r="AF41" s="98">
        <v>3.8899999999999997E-2</v>
      </c>
      <c r="AG41" s="98">
        <v>4.48E-2</v>
      </c>
      <c r="AH41" s="98">
        <v>3.8800000000000001E-2</v>
      </c>
      <c r="AI41" s="98">
        <v>4.3999999999999997E-2</v>
      </c>
      <c r="AJ41" s="98">
        <v>3.9699999999999999E-2</v>
      </c>
      <c r="AK41" s="98">
        <v>3.8800000000000001E-2</v>
      </c>
      <c r="AL41" s="98">
        <v>4.1799999999999997E-2</v>
      </c>
      <c r="AM41" s="98">
        <v>3.8600000000000002E-2</v>
      </c>
      <c r="AN41"/>
    </row>
    <row r="42" spans="1:40" s="66" customFormat="1" ht="16" x14ac:dyDescent="0.2">
      <c r="C42" s="108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AA42" s="97" t="s">
        <v>41</v>
      </c>
      <c r="AB42" s="98">
        <v>4.1500000000000002E-2</v>
      </c>
      <c r="AC42" s="98">
        <v>3.8399999999999997E-2</v>
      </c>
      <c r="AD42" s="98">
        <v>3.9899999999999998E-2</v>
      </c>
      <c r="AE42" s="98">
        <v>3.9800000000000002E-2</v>
      </c>
      <c r="AF42" s="98">
        <v>3.9399999999999998E-2</v>
      </c>
      <c r="AG42" s="98">
        <v>3.9300000000000002E-2</v>
      </c>
      <c r="AH42" s="98">
        <v>3.8199999999999998E-2</v>
      </c>
      <c r="AI42" s="98">
        <v>3.8399999999999997E-2</v>
      </c>
      <c r="AJ42" s="98">
        <v>3.8199999999999998E-2</v>
      </c>
      <c r="AK42" s="98">
        <v>3.8199999999999998E-2</v>
      </c>
      <c r="AL42" s="98">
        <v>0.04</v>
      </c>
      <c r="AM42" s="98">
        <v>4.7300000000000002E-2</v>
      </c>
      <c r="AN42"/>
    </row>
    <row r="43" spans="1:40" s="66" customFormat="1" ht="16" x14ac:dyDescent="0.2">
      <c r="A43" s="66" t="s">
        <v>12</v>
      </c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AA43" s="97" t="s">
        <v>42</v>
      </c>
      <c r="AB43" s="98">
        <v>4.24E-2</v>
      </c>
      <c r="AC43" s="98">
        <v>4.0500000000000001E-2</v>
      </c>
      <c r="AD43" s="98">
        <v>3.9699999999999999E-2</v>
      </c>
      <c r="AE43" s="98">
        <v>3.7999999999999999E-2</v>
      </c>
      <c r="AF43" s="98">
        <v>3.8300000000000001E-2</v>
      </c>
      <c r="AG43" s="98">
        <v>3.8699999999999998E-2</v>
      </c>
      <c r="AH43" s="98">
        <v>3.7499999999999999E-2</v>
      </c>
      <c r="AI43" s="98">
        <v>3.7999999999999999E-2</v>
      </c>
      <c r="AJ43" s="98">
        <v>3.78E-2</v>
      </c>
      <c r="AK43" s="98">
        <v>3.7999999999999999E-2</v>
      </c>
      <c r="AL43" s="98">
        <v>4.02E-2</v>
      </c>
      <c r="AM43" s="98">
        <v>3.8699999999999998E-2</v>
      </c>
      <c r="AN43"/>
    </row>
    <row r="44" spans="1:40" s="66" customFormat="1" ht="16" x14ac:dyDescent="0.2">
      <c r="C44" s="108"/>
      <c r="AA44" s="97" t="s">
        <v>43</v>
      </c>
      <c r="AB44" s="98">
        <v>3.9199999999999999E-2</v>
      </c>
      <c r="AC44" s="98">
        <v>3.95E-2</v>
      </c>
      <c r="AD44" s="98">
        <v>3.8199999999999998E-2</v>
      </c>
      <c r="AE44" s="98">
        <v>4.0599999999999997E-2</v>
      </c>
      <c r="AF44" s="98">
        <v>3.78E-2</v>
      </c>
      <c r="AG44" s="98">
        <v>3.85E-2</v>
      </c>
      <c r="AH44" s="98">
        <v>3.7999999999999999E-2</v>
      </c>
      <c r="AI44" s="98">
        <v>3.8100000000000002E-2</v>
      </c>
      <c r="AJ44" s="98">
        <v>3.7499999999999999E-2</v>
      </c>
      <c r="AK44" s="98">
        <v>3.8399999999999997E-2</v>
      </c>
      <c r="AL44" s="98">
        <v>3.8300000000000001E-2</v>
      </c>
      <c r="AM44" s="98">
        <v>3.9E-2</v>
      </c>
      <c r="AN44"/>
    </row>
    <row r="45" spans="1:40" s="66" customFormat="1" ht="16" x14ac:dyDescent="0.2">
      <c r="A45" s="66" t="s">
        <v>167</v>
      </c>
      <c r="B45" s="66" t="s">
        <v>172</v>
      </c>
      <c r="C45" s="108"/>
      <c r="AA45" s="97" t="s">
        <v>44</v>
      </c>
      <c r="AB45" s="98">
        <v>3.9E-2</v>
      </c>
      <c r="AC45" s="98">
        <v>3.8699999999999998E-2</v>
      </c>
      <c r="AD45" s="98">
        <v>3.7999999999999999E-2</v>
      </c>
      <c r="AE45" s="98">
        <v>3.8399999999999997E-2</v>
      </c>
      <c r="AF45" s="98">
        <v>3.8100000000000002E-2</v>
      </c>
      <c r="AG45" s="98">
        <v>3.8199999999999998E-2</v>
      </c>
      <c r="AH45" s="98">
        <v>3.8800000000000001E-2</v>
      </c>
      <c r="AI45" s="98">
        <v>3.8600000000000002E-2</v>
      </c>
      <c r="AJ45" s="98">
        <v>3.9800000000000002E-2</v>
      </c>
      <c r="AK45" s="98">
        <v>3.9600000000000003E-2</v>
      </c>
      <c r="AL45" s="98">
        <v>3.8699999999999998E-2</v>
      </c>
      <c r="AM45" s="98">
        <v>3.9E-2</v>
      </c>
      <c r="AN45"/>
    </row>
    <row r="46" spans="1:40" s="66" customFormat="1" ht="16" x14ac:dyDescent="0.2">
      <c r="C46" s="108"/>
      <c r="AA46" s="97" t="s">
        <v>45</v>
      </c>
      <c r="AB46" s="98">
        <v>3.8899999999999997E-2</v>
      </c>
      <c r="AC46" s="98">
        <v>3.9899999999999998E-2</v>
      </c>
      <c r="AD46" s="98">
        <v>3.8800000000000001E-2</v>
      </c>
      <c r="AE46" s="98">
        <v>3.8699999999999998E-2</v>
      </c>
      <c r="AF46" s="98">
        <v>3.8300000000000001E-2</v>
      </c>
      <c r="AG46" s="98">
        <v>4.65E-2</v>
      </c>
      <c r="AH46" s="98">
        <v>3.9399999999999998E-2</v>
      </c>
      <c r="AI46" s="98">
        <v>3.9800000000000002E-2</v>
      </c>
      <c r="AJ46" s="98">
        <v>3.8699999999999998E-2</v>
      </c>
      <c r="AK46" s="98">
        <v>3.9699999999999999E-2</v>
      </c>
      <c r="AL46" s="98">
        <v>3.9699999999999999E-2</v>
      </c>
      <c r="AM46" s="98">
        <v>3.9300000000000002E-2</v>
      </c>
      <c r="AN46"/>
    </row>
    <row r="47" spans="1:40" s="66" customFormat="1" ht="16" x14ac:dyDescent="0.2">
      <c r="C47" s="108"/>
      <c r="AA47" s="97" t="s">
        <v>46</v>
      </c>
      <c r="AB47" s="98">
        <v>3.9100000000000003E-2</v>
      </c>
      <c r="AC47" s="98">
        <v>3.8100000000000002E-2</v>
      </c>
      <c r="AD47" s="98">
        <v>3.9100000000000003E-2</v>
      </c>
      <c r="AE47" s="98">
        <v>3.9100000000000003E-2</v>
      </c>
      <c r="AF47" s="98">
        <v>3.8100000000000002E-2</v>
      </c>
      <c r="AG47" s="98">
        <v>4.1000000000000002E-2</v>
      </c>
      <c r="AH47" s="98">
        <v>3.8300000000000001E-2</v>
      </c>
      <c r="AI47" s="98">
        <v>3.85E-2</v>
      </c>
      <c r="AJ47" s="98">
        <v>4.2599999999999999E-2</v>
      </c>
      <c r="AK47" s="98">
        <v>3.8899999999999997E-2</v>
      </c>
      <c r="AL47" s="98">
        <v>3.8300000000000001E-2</v>
      </c>
      <c r="AM47" s="98">
        <v>3.9300000000000002E-2</v>
      </c>
      <c r="AN47"/>
    </row>
    <row r="48" spans="1:40" s="66" customFormat="1" ht="16" x14ac:dyDescent="0.2">
      <c r="C48" s="10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/>
    </row>
    <row r="49" spans="1:40" s="66" customFormat="1" ht="16" x14ac:dyDescent="0.2">
      <c r="C49" s="10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AA49" s="98" t="s">
        <v>50</v>
      </c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/>
    </row>
    <row r="50" spans="1:40" s="66" customFormat="1" ht="16" x14ac:dyDescent="0.2">
      <c r="C50" s="108"/>
      <c r="AA50" s="98" t="s">
        <v>37</v>
      </c>
      <c r="AB50" s="98">
        <v>1</v>
      </c>
      <c r="AC50" s="98">
        <v>2</v>
      </c>
      <c r="AD50" s="98">
        <v>3</v>
      </c>
      <c r="AE50" s="98">
        <v>4</v>
      </c>
      <c r="AF50" s="98">
        <v>5</v>
      </c>
      <c r="AG50" s="98">
        <v>6</v>
      </c>
      <c r="AH50" s="98">
        <v>7</v>
      </c>
      <c r="AI50" s="98">
        <v>8</v>
      </c>
      <c r="AJ50" s="98">
        <v>9</v>
      </c>
      <c r="AK50" s="98">
        <v>10</v>
      </c>
      <c r="AL50" s="98">
        <v>11</v>
      </c>
      <c r="AM50" s="98">
        <v>12</v>
      </c>
      <c r="AN50"/>
    </row>
    <row r="51" spans="1:40" s="66" customFormat="1" ht="16" x14ac:dyDescent="0.2">
      <c r="A51" s="66" t="s">
        <v>156</v>
      </c>
      <c r="C51" s="108"/>
      <c r="AA51" s="98" t="s">
        <v>39</v>
      </c>
      <c r="AB51" s="98">
        <v>3.3300000000000003E-2</v>
      </c>
      <c r="AC51" s="98">
        <v>9.2700000000000005E-2</v>
      </c>
      <c r="AD51" s="98">
        <v>0.14030000000000001</v>
      </c>
      <c r="AE51" s="98">
        <v>0.1709</v>
      </c>
      <c r="AF51" s="98">
        <v>0.21249999999999999</v>
      </c>
      <c r="AG51" s="98">
        <v>0.3916</v>
      </c>
      <c r="AH51" s="98">
        <v>3.5000000000000003E-2</v>
      </c>
      <c r="AI51" s="98">
        <v>0.3715</v>
      </c>
      <c r="AJ51" s="98">
        <v>0.36280000000000001</v>
      </c>
      <c r="AK51" s="98">
        <v>0.1089</v>
      </c>
      <c r="AL51" s="98">
        <v>2.12</v>
      </c>
      <c r="AM51" s="98">
        <v>0.12690000000000001</v>
      </c>
      <c r="AN51"/>
    </row>
    <row r="52" spans="1:40" s="66" customFormat="1" ht="16" x14ac:dyDescent="0.2">
      <c r="C52" s="108"/>
      <c r="AA52" s="98" t="s">
        <v>40</v>
      </c>
      <c r="AB52" s="98">
        <v>3.2300000000000002E-2</v>
      </c>
      <c r="AC52" s="98">
        <v>9.6500000000000002E-2</v>
      </c>
      <c r="AD52" s="98">
        <v>0.13869999999999999</v>
      </c>
      <c r="AE52" s="98">
        <v>0.17749999999999999</v>
      </c>
      <c r="AF52" s="98">
        <v>0.21640000000000001</v>
      </c>
      <c r="AG52" s="98">
        <v>0.3997</v>
      </c>
      <c r="AH52" s="98">
        <v>3.4099999999999998E-2</v>
      </c>
      <c r="AI52" s="98">
        <v>0.39450000000000002</v>
      </c>
      <c r="AJ52" s="98">
        <v>0.38290000000000002</v>
      </c>
      <c r="AK52" s="98">
        <v>0.11609999999999999</v>
      </c>
      <c r="AL52" s="98">
        <v>0.97419999999999995</v>
      </c>
      <c r="AM52" s="98">
        <v>7.6300000000000007E-2</v>
      </c>
      <c r="AN52"/>
    </row>
    <row r="53" spans="1:40" s="66" customFormat="1" ht="16" x14ac:dyDescent="0.2">
      <c r="C53" s="108"/>
      <c r="AA53" s="98" t="s">
        <v>41</v>
      </c>
      <c r="AB53" s="98">
        <v>3.5000000000000003E-2</v>
      </c>
      <c r="AC53" s="98">
        <v>8.5099999999999995E-2</v>
      </c>
      <c r="AD53" s="98">
        <v>0.1394</v>
      </c>
      <c r="AE53" s="98">
        <v>0.16880000000000001</v>
      </c>
      <c r="AF53" s="98">
        <v>0.24149999999999999</v>
      </c>
      <c r="AG53" s="98">
        <v>0.37359999999999999</v>
      </c>
      <c r="AH53" s="98">
        <v>3.5799999999999998E-2</v>
      </c>
      <c r="AI53" s="98">
        <v>0.12429999999999999</v>
      </c>
      <c r="AJ53" s="98">
        <v>0.1353</v>
      </c>
      <c r="AK53" s="98">
        <v>0.1081</v>
      </c>
      <c r="AL53" s="98">
        <v>0.45219999999999999</v>
      </c>
      <c r="AM53" s="98">
        <v>5.4199999999999998E-2</v>
      </c>
      <c r="AN53"/>
    </row>
    <row r="54" spans="1:40" s="66" customFormat="1" ht="16" x14ac:dyDescent="0.2">
      <c r="C54" s="108"/>
      <c r="AA54" s="98" t="s">
        <v>42</v>
      </c>
      <c r="AB54" s="98">
        <v>3.39E-2</v>
      </c>
      <c r="AC54" s="98">
        <v>8.3799999999999999E-2</v>
      </c>
      <c r="AD54" s="98">
        <v>0.1348</v>
      </c>
      <c r="AE54" s="98">
        <v>0.17050000000000001</v>
      </c>
      <c r="AF54" s="98">
        <v>0.24379999999999999</v>
      </c>
      <c r="AG54" s="98">
        <v>0.3377</v>
      </c>
      <c r="AH54" s="98">
        <v>3.1300000000000001E-2</v>
      </c>
      <c r="AI54" s="98">
        <v>0.12659999999999999</v>
      </c>
      <c r="AJ54" s="98">
        <v>0.12590000000000001</v>
      </c>
      <c r="AK54" s="98">
        <v>0.10589999999999999</v>
      </c>
      <c r="AL54" s="98">
        <v>0.2208</v>
      </c>
      <c r="AM54" s="98">
        <v>3.3000000000000002E-2</v>
      </c>
      <c r="AN54"/>
    </row>
    <row r="55" spans="1:40" s="66" customFormat="1" ht="16" x14ac:dyDescent="0.2">
      <c r="C55" s="108"/>
      <c r="AA55" s="98" t="s">
        <v>43</v>
      </c>
      <c r="AB55" s="98">
        <v>3.1600000000000003E-2</v>
      </c>
      <c r="AC55" s="98">
        <v>0.10970000000000001</v>
      </c>
      <c r="AD55" s="98">
        <v>5.62E-2</v>
      </c>
      <c r="AE55" s="98">
        <v>0.21010000000000001</v>
      </c>
      <c r="AF55" s="98">
        <v>3.0599999999999999E-2</v>
      </c>
      <c r="AG55" s="98">
        <v>0.1951</v>
      </c>
      <c r="AH55" s="98">
        <v>5.6000000000000001E-2</v>
      </c>
      <c r="AI55" s="98">
        <v>0.24179999999999999</v>
      </c>
      <c r="AJ55" s="98">
        <v>3.0499999999999999E-2</v>
      </c>
      <c r="AK55" s="98">
        <v>0.1032</v>
      </c>
      <c r="AL55" s="98">
        <v>4.2799999999999998E-2</v>
      </c>
      <c r="AM55" s="98">
        <v>0.13780000000000001</v>
      </c>
      <c r="AN55"/>
    </row>
    <row r="56" spans="1:40" s="66" customFormat="1" ht="16" x14ac:dyDescent="0.2">
      <c r="C56" s="108"/>
      <c r="AA56" s="98" t="s">
        <v>44</v>
      </c>
      <c r="AB56" s="98">
        <v>3.15E-2</v>
      </c>
      <c r="AC56" s="98">
        <v>0.1094</v>
      </c>
      <c r="AD56" s="98">
        <v>5.5399999999999998E-2</v>
      </c>
      <c r="AE56" s="98">
        <v>0.2145</v>
      </c>
      <c r="AF56" s="98">
        <v>3.0099999999999998E-2</v>
      </c>
      <c r="AG56" s="98">
        <v>0.19639999999999999</v>
      </c>
      <c r="AH56" s="98">
        <v>5.4699999999999999E-2</v>
      </c>
      <c r="AI56" s="98">
        <v>0.24879999999999999</v>
      </c>
      <c r="AJ56" s="98">
        <v>3.1699999999999999E-2</v>
      </c>
      <c r="AK56" s="98">
        <v>0.1027</v>
      </c>
      <c r="AL56" s="98">
        <v>4.24E-2</v>
      </c>
      <c r="AM56" s="98">
        <v>0.13900000000000001</v>
      </c>
      <c r="AN56"/>
    </row>
    <row r="57" spans="1:40" ht="16" x14ac:dyDescent="0.2">
      <c r="AA57" s="98" t="s">
        <v>45</v>
      </c>
      <c r="AB57" s="98">
        <v>3.1199999999999999E-2</v>
      </c>
      <c r="AC57" s="98">
        <v>5.3499999999999999E-2</v>
      </c>
      <c r="AD57" s="98">
        <v>4.1099999999999998E-2</v>
      </c>
      <c r="AE57" s="98">
        <v>5.8099999999999999E-2</v>
      </c>
      <c r="AF57" s="98">
        <v>3.1800000000000002E-2</v>
      </c>
      <c r="AG57" s="98">
        <v>6.54E-2</v>
      </c>
      <c r="AH57" s="98">
        <v>4.0500000000000001E-2</v>
      </c>
      <c r="AI57" s="98">
        <v>5.9799999999999999E-2</v>
      </c>
      <c r="AJ57" s="98">
        <v>3.1300000000000001E-2</v>
      </c>
      <c r="AK57" s="98">
        <v>5.21E-2</v>
      </c>
      <c r="AL57" s="98">
        <v>3.6400000000000002E-2</v>
      </c>
      <c r="AM57" s="98">
        <v>5.21E-2</v>
      </c>
      <c r="AN57"/>
    </row>
    <row r="58" spans="1:40" ht="16" x14ac:dyDescent="0.2">
      <c r="AA58" s="98" t="s">
        <v>46</v>
      </c>
      <c r="AB58" s="98">
        <v>3.1899999999999998E-2</v>
      </c>
      <c r="AC58" s="98">
        <v>5.5199999999999999E-2</v>
      </c>
      <c r="AD58" s="98">
        <v>3.8199999999999998E-2</v>
      </c>
      <c r="AE58" s="98">
        <v>5.96E-2</v>
      </c>
      <c r="AF58" s="98">
        <v>3.2000000000000001E-2</v>
      </c>
      <c r="AG58" s="98">
        <v>6.8199999999999997E-2</v>
      </c>
      <c r="AH58" s="98">
        <v>4.1500000000000002E-2</v>
      </c>
      <c r="AI58" s="98">
        <v>6.3799999999999996E-2</v>
      </c>
      <c r="AJ58" s="98">
        <v>3.2099999999999997E-2</v>
      </c>
      <c r="AK58" s="98">
        <v>5.3600000000000002E-2</v>
      </c>
      <c r="AL58" s="98">
        <v>3.7900000000000003E-2</v>
      </c>
      <c r="AM58" s="98">
        <v>5.5199999999999999E-2</v>
      </c>
      <c r="AN58"/>
    </row>
    <row r="59" spans="1:40" ht="16" x14ac:dyDescent="0.2"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6" x14ac:dyDescent="0.2"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6" x14ac:dyDescent="0.2">
      <c r="AA61" t="s">
        <v>51</v>
      </c>
      <c r="AB61" s="95">
        <v>43292.748252314814</v>
      </c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6" x14ac:dyDescent="0.2">
      <c r="AA62"/>
      <c r="AB62"/>
      <c r="AC62"/>
      <c r="AD62"/>
      <c r="AE62"/>
      <c r="AF62"/>
      <c r="AG62"/>
      <c r="AH62"/>
      <c r="AI62"/>
      <c r="AJ62"/>
      <c r="AK62"/>
      <c r="AL62" s="142" t="s">
        <v>397</v>
      </c>
      <c r="AM62" s="142"/>
      <c r="AN62"/>
    </row>
    <row r="63" spans="1:40" ht="17" x14ac:dyDescent="0.2">
      <c r="AA63" s="144" t="s">
        <v>193</v>
      </c>
      <c r="AB63" s="145">
        <f>AB50</f>
        <v>1</v>
      </c>
      <c r="AC63" s="145">
        <f t="shared" ref="AC63:AM63" si="14">AC50</f>
        <v>2</v>
      </c>
      <c r="AD63" s="145">
        <f t="shared" si="14"/>
        <v>3</v>
      </c>
      <c r="AE63" s="145">
        <f t="shared" si="14"/>
        <v>4</v>
      </c>
      <c r="AF63" s="145">
        <f t="shared" si="14"/>
        <v>5</v>
      </c>
      <c r="AG63" s="145">
        <f t="shared" si="14"/>
        <v>6</v>
      </c>
      <c r="AH63" s="145">
        <f t="shared" si="14"/>
        <v>7</v>
      </c>
      <c r="AI63" s="145">
        <f t="shared" si="14"/>
        <v>8</v>
      </c>
      <c r="AJ63" s="145">
        <f t="shared" si="14"/>
        <v>9</v>
      </c>
      <c r="AK63" s="145">
        <f t="shared" si="14"/>
        <v>10</v>
      </c>
      <c r="AL63" s="145">
        <f t="shared" si="14"/>
        <v>11</v>
      </c>
      <c r="AM63" s="145">
        <f t="shared" si="14"/>
        <v>12</v>
      </c>
      <c r="AN63"/>
    </row>
    <row r="64" spans="1:40" ht="32" x14ac:dyDescent="0.2">
      <c r="Z64" s="152">
        <v>43292</v>
      </c>
      <c r="AA64" s="145" t="str">
        <f>AA51</f>
        <v>A</v>
      </c>
      <c r="AB64" s="1" t="s">
        <v>411</v>
      </c>
      <c r="AC64" s="1" t="s">
        <v>412</v>
      </c>
      <c r="AD64" s="1" t="s">
        <v>413</v>
      </c>
      <c r="AE64" s="1" t="s">
        <v>414</v>
      </c>
      <c r="AF64" s="1" t="s">
        <v>415</v>
      </c>
      <c r="AG64" s="1" t="s">
        <v>416</v>
      </c>
      <c r="AH64" s="1" t="s">
        <v>417</v>
      </c>
      <c r="AI64" s="1" t="s">
        <v>418</v>
      </c>
      <c r="AJ64" s="1" t="s">
        <v>419</v>
      </c>
      <c r="AK64" s="1" t="s">
        <v>420</v>
      </c>
      <c r="AL64" s="9">
        <v>1000</v>
      </c>
      <c r="AM64" s="9">
        <v>1000</v>
      </c>
      <c r="AN64"/>
    </row>
    <row r="65" spans="26:40" ht="32" x14ac:dyDescent="0.2">
      <c r="Z65" s="153"/>
      <c r="AA65" s="145" t="str">
        <f t="shared" ref="AA65:AA74" si="15">AA52</f>
        <v>B</v>
      </c>
      <c r="AB65" s="1" t="s">
        <v>421</v>
      </c>
      <c r="AC65" s="1" t="s">
        <v>422</v>
      </c>
      <c r="AD65" s="1" t="s">
        <v>423</v>
      </c>
      <c r="AE65" s="1" t="s">
        <v>424</v>
      </c>
      <c r="AF65" s="1" t="s">
        <v>425</v>
      </c>
      <c r="AG65" s="1" t="s">
        <v>426</v>
      </c>
      <c r="AH65" s="1" t="s">
        <v>427</v>
      </c>
      <c r="AI65" s="1" t="s">
        <v>428</v>
      </c>
      <c r="AJ65" s="1" t="s">
        <v>429</v>
      </c>
      <c r="AK65" s="1" t="s">
        <v>430</v>
      </c>
      <c r="AL65" s="9">
        <v>500</v>
      </c>
      <c r="AM65" s="9">
        <v>500</v>
      </c>
      <c r="AN65"/>
    </row>
    <row r="66" spans="26:40" ht="32" x14ac:dyDescent="0.2">
      <c r="Z66" s="153"/>
      <c r="AA66" s="145" t="str">
        <f t="shared" si="15"/>
        <v>C</v>
      </c>
      <c r="AB66" s="1" t="s">
        <v>431</v>
      </c>
      <c r="AC66" s="1" t="s">
        <v>432</v>
      </c>
      <c r="AD66" s="1" t="s">
        <v>433</v>
      </c>
      <c r="AE66" s="1" t="s">
        <v>434</v>
      </c>
      <c r="AF66" s="1" t="s">
        <v>435</v>
      </c>
      <c r="AG66" s="1" t="s">
        <v>436</v>
      </c>
      <c r="AH66" s="1" t="s">
        <v>437</v>
      </c>
      <c r="AI66" s="1" t="s">
        <v>438</v>
      </c>
      <c r="AJ66" s="1" t="s">
        <v>439</v>
      </c>
      <c r="AK66" s="1" t="s">
        <v>440</v>
      </c>
      <c r="AL66" s="9">
        <v>250</v>
      </c>
      <c r="AM66" s="9">
        <v>250</v>
      </c>
      <c r="AN66"/>
    </row>
    <row r="67" spans="26:40" ht="32" x14ac:dyDescent="0.2">
      <c r="Z67" s="153"/>
      <c r="AA67" s="145" t="str">
        <f t="shared" si="15"/>
        <v>D</v>
      </c>
      <c r="AB67" s="1" t="s">
        <v>441</v>
      </c>
      <c r="AC67" s="1" t="s">
        <v>442</v>
      </c>
      <c r="AD67" s="1" t="s">
        <v>443</v>
      </c>
      <c r="AE67" s="1" t="s">
        <v>444</v>
      </c>
      <c r="AF67" s="1" t="s">
        <v>445</v>
      </c>
      <c r="AG67" s="1" t="s">
        <v>446</v>
      </c>
      <c r="AH67" s="1" t="s">
        <v>447</v>
      </c>
      <c r="AI67" s="1" t="s">
        <v>448</v>
      </c>
      <c r="AJ67" s="1" t="s">
        <v>449</v>
      </c>
      <c r="AK67" s="1" t="s">
        <v>450</v>
      </c>
      <c r="AL67" s="9">
        <v>125</v>
      </c>
      <c r="AM67" s="9">
        <v>125</v>
      </c>
      <c r="AN67"/>
    </row>
    <row r="68" spans="26:40" ht="16" x14ac:dyDescent="0.2">
      <c r="AA68" s="145" t="str">
        <f t="shared" si="15"/>
        <v>E</v>
      </c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9">
        <v>62.5</v>
      </c>
      <c r="AM68" s="9">
        <v>62.5</v>
      </c>
      <c r="AN68"/>
    </row>
    <row r="69" spans="26:40" ht="16" x14ac:dyDescent="0.2">
      <c r="AA69" s="145" t="str">
        <f t="shared" si="15"/>
        <v>F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>
        <v>31.25</v>
      </c>
      <c r="AM69" s="9">
        <v>31.25</v>
      </c>
    </row>
    <row r="70" spans="26:40" ht="16" x14ac:dyDescent="0.2">
      <c r="AA70" s="145" t="str">
        <f t="shared" si="15"/>
        <v>G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>
        <v>15.625</v>
      </c>
      <c r="AM70" s="9">
        <v>15.625</v>
      </c>
    </row>
    <row r="71" spans="26:40" ht="16" x14ac:dyDescent="0.2">
      <c r="AA71" s="145" t="str">
        <f t="shared" si="15"/>
        <v>H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46">
        <v>0</v>
      </c>
      <c r="AM71" s="146">
        <v>0</v>
      </c>
    </row>
    <row r="72" spans="26:40" ht="16" x14ac:dyDescent="0.2">
      <c r="AA72"/>
    </row>
    <row r="73" spans="26:40" ht="16" x14ac:dyDescent="0.2">
      <c r="AA73"/>
    </row>
    <row r="74" spans="26:40" ht="16" x14ac:dyDescent="0.2">
      <c r="AA74"/>
    </row>
  </sheetData>
  <mergeCells count="7">
    <mergeCell ref="AL62:AM62"/>
    <mergeCell ref="Z64:Z67"/>
    <mergeCell ref="D41:O41"/>
    <mergeCell ref="D42:G42"/>
    <mergeCell ref="H42:K42"/>
    <mergeCell ref="L42:O42"/>
    <mergeCell ref="D4:M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ABC5-C9C9-664F-9AB7-0949FA4C80C0}">
  <dimension ref="A1:AJ57"/>
  <sheetViews>
    <sheetView topLeftCell="N18" zoomScale="107" workbookViewId="0">
      <selection activeCell="AB54" sqref="AB54:AH57"/>
    </sheetView>
  </sheetViews>
  <sheetFormatPr baseColWidth="10" defaultRowHeight="16" x14ac:dyDescent="0.2"/>
  <cols>
    <col min="1" max="1" width="21.1640625" customWidth="1"/>
    <col min="2" max="2" width="13.5" bestFit="1" customWidth="1"/>
    <col min="3" max="3" width="30" bestFit="1" customWidth="1"/>
    <col min="4" max="4" width="6.83203125" bestFit="1" customWidth="1"/>
    <col min="5" max="5" width="13.6640625" bestFit="1" customWidth="1"/>
    <col min="20" max="35" width="10.83203125" style="177"/>
  </cols>
  <sheetData>
    <row r="1" spans="1:35" x14ac:dyDescent="0.2">
      <c r="A1" s="6"/>
      <c r="B1" s="6"/>
      <c r="C1" s="6"/>
      <c r="AA1" t="s">
        <v>2</v>
      </c>
      <c r="AB1"/>
      <c r="AC1"/>
      <c r="AD1"/>
      <c r="AE1" t="s">
        <v>3</v>
      </c>
      <c r="AF1"/>
      <c r="AG1"/>
      <c r="AH1"/>
      <c r="AI1"/>
    </row>
    <row r="2" spans="1:35" x14ac:dyDescent="0.2">
      <c r="A2" s="3" t="s">
        <v>162</v>
      </c>
      <c r="B2" s="6"/>
      <c r="C2" s="6"/>
      <c r="AA2" t="s">
        <v>4</v>
      </c>
      <c r="AB2"/>
      <c r="AC2"/>
      <c r="AD2"/>
      <c r="AE2" t="s">
        <v>5</v>
      </c>
      <c r="AF2"/>
      <c r="AG2"/>
      <c r="AH2"/>
      <c r="AI2"/>
    </row>
    <row r="3" spans="1:35" x14ac:dyDescent="0.2">
      <c r="A3" s="5" t="s">
        <v>152</v>
      </c>
      <c r="B3" s="5"/>
      <c r="C3" s="6"/>
      <c r="O3" s="177"/>
      <c r="P3" s="177"/>
      <c r="Q3" s="177"/>
      <c r="R3" s="177"/>
      <c r="S3" s="177"/>
      <c r="AA3" t="s">
        <v>6</v>
      </c>
      <c r="AB3"/>
      <c r="AC3"/>
      <c r="AD3"/>
      <c r="AE3" t="s">
        <v>7</v>
      </c>
      <c r="AF3"/>
      <c r="AG3"/>
      <c r="AH3"/>
      <c r="AI3"/>
    </row>
    <row r="4" spans="1:35" x14ac:dyDescent="0.2">
      <c r="A4" s="3" t="s">
        <v>160</v>
      </c>
      <c r="B4" s="3"/>
      <c r="C4" s="6"/>
      <c r="D4" s="176" t="s">
        <v>9</v>
      </c>
      <c r="E4" s="176"/>
      <c r="F4" s="176"/>
      <c r="G4" s="176"/>
      <c r="H4" s="176"/>
      <c r="I4" s="176"/>
      <c r="J4" s="176"/>
      <c r="O4" s="177"/>
      <c r="P4" s="143"/>
      <c r="Q4" s="177"/>
      <c r="R4" s="177"/>
      <c r="S4" s="177"/>
      <c r="AA4"/>
      <c r="AB4"/>
      <c r="AC4"/>
      <c r="AD4"/>
      <c r="AE4"/>
      <c r="AF4"/>
      <c r="AG4"/>
      <c r="AH4"/>
      <c r="AI4"/>
    </row>
    <row r="5" spans="1:35" x14ac:dyDescent="0.2">
      <c r="A5" s="3" t="s">
        <v>169</v>
      </c>
      <c r="B5" s="3" t="s">
        <v>466</v>
      </c>
      <c r="C5" s="6"/>
      <c r="D5" s="96" t="s">
        <v>188</v>
      </c>
      <c r="E5" s="96" t="s">
        <v>133</v>
      </c>
      <c r="F5" s="96" t="s">
        <v>452</v>
      </c>
      <c r="G5" s="96" t="s">
        <v>453</v>
      </c>
      <c r="H5" s="96" t="s">
        <v>454</v>
      </c>
      <c r="I5" s="96" t="s">
        <v>455</v>
      </c>
      <c r="J5" s="96" t="s">
        <v>456</v>
      </c>
      <c r="L5" s="96" t="s">
        <v>474</v>
      </c>
      <c r="Q5" t="s">
        <v>64</v>
      </c>
      <c r="AA5" t="s">
        <v>52</v>
      </c>
      <c r="AB5" s="93">
        <v>43921</v>
      </c>
      <c r="AC5"/>
      <c r="AD5"/>
      <c r="AE5"/>
      <c r="AF5"/>
      <c r="AG5"/>
      <c r="AH5"/>
      <c r="AI5"/>
    </row>
    <row r="6" spans="1:35" x14ac:dyDescent="0.2">
      <c r="A6" s="3" t="s">
        <v>170</v>
      </c>
      <c r="B6" s="3" t="s">
        <v>467</v>
      </c>
      <c r="C6" s="6"/>
      <c r="F6" s="96"/>
      <c r="G6" s="96"/>
      <c r="H6" s="96"/>
      <c r="I6" s="96"/>
      <c r="J6" s="96"/>
      <c r="K6" s="96"/>
      <c r="P6" t="s">
        <v>458</v>
      </c>
      <c r="Q6" s="96">
        <v>496.55</v>
      </c>
      <c r="R6" t="s">
        <v>459</v>
      </c>
      <c r="AA6" t="s">
        <v>53</v>
      </c>
      <c r="AB6" s="94">
        <v>0.71712962962962967</v>
      </c>
      <c r="AC6"/>
      <c r="AD6"/>
      <c r="AE6"/>
      <c r="AF6"/>
      <c r="AG6"/>
      <c r="AH6"/>
      <c r="AI6"/>
    </row>
    <row r="7" spans="1:35" x14ac:dyDescent="0.2">
      <c r="A7" s="6" t="s">
        <v>178</v>
      </c>
      <c r="B7" s="3"/>
      <c r="C7" t="s">
        <v>451</v>
      </c>
      <c r="D7">
        <v>1</v>
      </c>
      <c r="E7">
        <v>5</v>
      </c>
      <c r="F7">
        <v>5</v>
      </c>
      <c r="G7">
        <v>5</v>
      </c>
      <c r="H7">
        <v>11</v>
      </c>
      <c r="I7">
        <v>11</v>
      </c>
      <c r="J7">
        <v>5</v>
      </c>
      <c r="K7" s="96"/>
      <c r="X7" s="143"/>
      <c r="Y7" s="143"/>
      <c r="Z7" s="143"/>
      <c r="AA7"/>
      <c r="AB7"/>
      <c r="AC7"/>
      <c r="AD7"/>
      <c r="AE7"/>
      <c r="AF7"/>
      <c r="AG7"/>
      <c r="AH7"/>
      <c r="AI7"/>
    </row>
    <row r="8" spans="1:35" x14ac:dyDescent="0.2">
      <c r="B8" s="6"/>
      <c r="C8" t="s">
        <v>84</v>
      </c>
      <c r="D8">
        <v>2.46E-2</v>
      </c>
      <c r="E8">
        <v>0.2666</v>
      </c>
      <c r="F8">
        <v>0.27</v>
      </c>
      <c r="G8">
        <v>0.25290000000000001</v>
      </c>
      <c r="H8">
        <v>0.124</v>
      </c>
      <c r="I8">
        <v>0.1545</v>
      </c>
      <c r="J8">
        <v>0.24410000000000001</v>
      </c>
      <c r="K8" s="96"/>
      <c r="P8" t="s">
        <v>460</v>
      </c>
      <c r="Q8">
        <v>0.996</v>
      </c>
      <c r="T8" s="143"/>
      <c r="U8" s="143"/>
      <c r="V8" s="143"/>
      <c r="W8" s="143"/>
      <c r="AA8"/>
      <c r="AB8"/>
      <c r="AC8"/>
      <c r="AD8"/>
      <c r="AE8"/>
      <c r="AF8"/>
      <c r="AG8"/>
      <c r="AH8"/>
      <c r="AI8"/>
    </row>
    <row r="9" spans="1:35" x14ac:dyDescent="0.2">
      <c r="A9" s="54"/>
      <c r="B9" s="54"/>
      <c r="C9" t="s">
        <v>85</v>
      </c>
      <c r="D9">
        <v>2.2700000000000001E-2</v>
      </c>
      <c r="E9">
        <v>0.25090000000000001</v>
      </c>
      <c r="F9">
        <v>0.26100000000000001</v>
      </c>
      <c r="G9">
        <v>0.33129999999999998</v>
      </c>
      <c r="H9">
        <v>0.18229999999999999</v>
      </c>
      <c r="I9">
        <v>0.1474</v>
      </c>
      <c r="J9">
        <v>0.24679999999999999</v>
      </c>
      <c r="X9" s="143"/>
      <c r="Y9" s="143"/>
      <c r="Z9" s="143"/>
      <c r="AA9" t="s">
        <v>10</v>
      </c>
      <c r="AB9"/>
      <c r="AC9"/>
      <c r="AD9"/>
      <c r="AE9" t="s">
        <v>11</v>
      </c>
      <c r="AF9"/>
      <c r="AG9"/>
      <c r="AH9"/>
      <c r="AI9"/>
    </row>
    <row r="10" spans="1:35" ht="20" x14ac:dyDescent="0.25">
      <c r="A10" s="54"/>
      <c r="B10" s="3"/>
      <c r="C10" t="s">
        <v>12</v>
      </c>
      <c r="D10" s="174">
        <f>AVERAGE(D8:D9)</f>
        <v>2.3650000000000001E-2</v>
      </c>
      <c r="E10" s="174">
        <f t="shared" ref="E10:J10" si="0">AVERAGE(E8:E9)</f>
        <v>0.25875000000000004</v>
      </c>
      <c r="F10" s="174">
        <f t="shared" si="0"/>
        <v>0.26550000000000001</v>
      </c>
      <c r="G10" s="174">
        <f t="shared" si="0"/>
        <v>0.29210000000000003</v>
      </c>
      <c r="H10" s="174">
        <f t="shared" si="0"/>
        <v>0.15315000000000001</v>
      </c>
      <c r="I10" s="174">
        <f t="shared" si="0"/>
        <v>0.15095</v>
      </c>
      <c r="J10" s="174">
        <f t="shared" si="0"/>
        <v>0.24545</v>
      </c>
      <c r="T10" s="143"/>
      <c r="U10" s="143"/>
      <c r="V10" s="143"/>
      <c r="W10" s="143"/>
      <c r="AA10" t="s">
        <v>14</v>
      </c>
      <c r="AB10"/>
      <c r="AC10"/>
      <c r="AD10"/>
      <c r="AE10" t="s">
        <v>15</v>
      </c>
      <c r="AF10"/>
      <c r="AG10"/>
      <c r="AH10"/>
      <c r="AI10"/>
    </row>
    <row r="11" spans="1:35" x14ac:dyDescent="0.2">
      <c r="A11" s="2" t="s">
        <v>161</v>
      </c>
      <c r="B11" s="6"/>
      <c r="C11" t="s">
        <v>80</v>
      </c>
      <c r="D11" s="96">
        <f>D10-$L$25</f>
        <v>-2.4500000000000008E-3</v>
      </c>
      <c r="E11" s="96">
        <f t="shared" ref="E11:J11" si="1">E10-M25</f>
        <v>0.25875000000000004</v>
      </c>
      <c r="F11" s="96">
        <f t="shared" si="1"/>
        <v>0.26550000000000001</v>
      </c>
      <c r="G11" s="96">
        <f t="shared" si="1"/>
        <v>0.29210000000000003</v>
      </c>
      <c r="H11" s="96">
        <f t="shared" si="1"/>
        <v>0.15315000000000001</v>
      </c>
      <c r="I11" s="96">
        <f t="shared" si="1"/>
        <v>0.15095</v>
      </c>
      <c r="J11" s="96">
        <f t="shared" si="1"/>
        <v>0.24545</v>
      </c>
      <c r="AA11" t="s">
        <v>17</v>
      </c>
      <c r="AB11"/>
      <c r="AC11"/>
      <c r="AD11"/>
      <c r="AE11" t="s">
        <v>191</v>
      </c>
      <c r="AF11"/>
      <c r="AG11"/>
      <c r="AH11"/>
      <c r="AI11"/>
    </row>
    <row r="12" spans="1:35" x14ac:dyDescent="0.2">
      <c r="A12" s="6" t="s">
        <v>151</v>
      </c>
      <c r="B12" s="2"/>
      <c r="C12" t="s">
        <v>18</v>
      </c>
      <c r="D12">
        <f>D10*$Q$6*D7</f>
        <v>11.7434075</v>
      </c>
      <c r="E12">
        <f>E10*$Q$6*E7</f>
        <v>642.41156250000017</v>
      </c>
      <c r="F12">
        <f>F10*$Q$6*F7</f>
        <v>659.17012499999998</v>
      </c>
      <c r="G12">
        <f>G10*$Q$6*G7</f>
        <v>725.21127500000011</v>
      </c>
      <c r="H12">
        <f>H10*$Q$6*H7</f>
        <v>836.51295749999997</v>
      </c>
      <c r="I12">
        <f>I10*$Q$6*I7</f>
        <v>824.49644750000004</v>
      </c>
      <c r="J12">
        <f>J10*$Q$6*J7</f>
        <v>609.39098749999994</v>
      </c>
      <c r="AA12"/>
      <c r="AB12"/>
      <c r="AC12"/>
      <c r="AD12"/>
      <c r="AE12"/>
      <c r="AF12"/>
      <c r="AG12"/>
      <c r="AH12"/>
      <c r="AI12"/>
    </row>
    <row r="13" spans="1:35" x14ac:dyDescent="0.2">
      <c r="B13" s="6"/>
      <c r="C13" s="6" t="s">
        <v>469</v>
      </c>
      <c r="D13">
        <f>D12*1.1</f>
        <v>12.917748250000001</v>
      </c>
      <c r="E13">
        <f t="shared" ref="E13:J13" si="2">E12*1.1</f>
        <v>706.6527187500003</v>
      </c>
      <c r="F13">
        <f t="shared" si="2"/>
        <v>725.08713750000004</v>
      </c>
      <c r="G13">
        <f t="shared" si="2"/>
        <v>797.73240250000015</v>
      </c>
      <c r="H13">
        <f t="shared" si="2"/>
        <v>920.16425325</v>
      </c>
      <c r="I13">
        <f t="shared" si="2"/>
        <v>906.94609225000011</v>
      </c>
      <c r="J13">
        <f t="shared" si="2"/>
        <v>670.33008625000002</v>
      </c>
      <c r="T13"/>
      <c r="U13"/>
      <c r="V13"/>
      <c r="W13"/>
      <c r="AA13" t="s">
        <v>276</v>
      </c>
      <c r="AB13"/>
      <c r="AC13"/>
      <c r="AD13"/>
      <c r="AE13">
        <v>1</v>
      </c>
      <c r="AF13" t="s">
        <v>277</v>
      </c>
      <c r="AG13"/>
      <c r="AH13"/>
      <c r="AI13"/>
    </row>
    <row r="14" spans="1:35" x14ac:dyDescent="0.2">
      <c r="A14" s="6"/>
      <c r="B14" s="6"/>
      <c r="T14"/>
      <c r="U14"/>
      <c r="V14"/>
      <c r="W14"/>
      <c r="AA14" t="s">
        <v>278</v>
      </c>
      <c r="AB14"/>
      <c r="AC14"/>
      <c r="AD14"/>
      <c r="AE14">
        <v>1</v>
      </c>
      <c r="AF14" t="s">
        <v>279</v>
      </c>
      <c r="AG14"/>
      <c r="AH14"/>
      <c r="AI14"/>
    </row>
    <row r="15" spans="1:35" x14ac:dyDescent="0.2">
      <c r="A15" s="6"/>
      <c r="B15" s="6"/>
      <c r="D15" s="142" t="s">
        <v>8</v>
      </c>
      <c r="E15" s="142"/>
      <c r="F15" s="142"/>
      <c r="G15" s="142"/>
      <c r="H15" s="142"/>
      <c r="I15" s="142"/>
      <c r="J15" s="142"/>
      <c r="P15" s="151"/>
      <c r="T15"/>
      <c r="U15"/>
      <c r="V15"/>
      <c r="W15"/>
      <c r="AA15"/>
      <c r="AB15"/>
      <c r="AC15"/>
      <c r="AD15"/>
      <c r="AE15"/>
      <c r="AF15"/>
      <c r="AG15"/>
      <c r="AH15"/>
      <c r="AI15"/>
    </row>
    <row r="16" spans="1:35" x14ac:dyDescent="0.2">
      <c r="A16" s="6"/>
      <c r="B16" s="6"/>
      <c r="C16" t="s">
        <v>451</v>
      </c>
      <c r="D16">
        <v>1</v>
      </c>
      <c r="E16">
        <v>11</v>
      </c>
      <c r="F16">
        <v>11</v>
      </c>
      <c r="G16">
        <v>11</v>
      </c>
      <c r="H16">
        <v>30</v>
      </c>
      <c r="I16">
        <v>30</v>
      </c>
      <c r="J16">
        <v>11</v>
      </c>
      <c r="T16"/>
      <c r="U16"/>
      <c r="V16"/>
      <c r="W16"/>
      <c r="AA16"/>
      <c r="AB16"/>
      <c r="AC16"/>
      <c r="AD16"/>
      <c r="AE16"/>
      <c r="AF16"/>
      <c r="AG16"/>
      <c r="AH16"/>
      <c r="AI16"/>
    </row>
    <row r="17" spans="1:36" x14ac:dyDescent="0.2">
      <c r="A17" s="6"/>
      <c r="B17" s="6"/>
      <c r="C17" s="3" t="s">
        <v>19</v>
      </c>
      <c r="D17">
        <v>2.2200000000000001E-2</v>
      </c>
      <c r="E17">
        <v>0.42020000000000002</v>
      </c>
      <c r="F17">
        <v>0.69630000000000003</v>
      </c>
      <c r="G17">
        <v>0.78859999999999997</v>
      </c>
      <c r="H17">
        <v>0.28499999999999998</v>
      </c>
      <c r="I17">
        <v>0.34260000000000002</v>
      </c>
      <c r="J17">
        <v>0.63060000000000005</v>
      </c>
      <c r="N17" t="s">
        <v>18</v>
      </c>
      <c r="T17"/>
      <c r="U17"/>
      <c r="V17"/>
      <c r="W17"/>
      <c r="X17" s="143"/>
      <c r="Y17" s="143"/>
      <c r="Z17" s="143"/>
      <c r="AA17" t="s">
        <v>192</v>
      </c>
      <c r="AB17"/>
      <c r="AC17"/>
      <c r="AD17"/>
      <c r="AE17"/>
      <c r="AF17"/>
      <c r="AG17"/>
      <c r="AH17"/>
      <c r="AI17"/>
    </row>
    <row r="18" spans="1:36" x14ac:dyDescent="0.2">
      <c r="A18" s="6"/>
      <c r="B18" s="6"/>
      <c r="C18" s="3" t="s">
        <v>20</v>
      </c>
      <c r="D18">
        <v>2.1700000000000001E-2</v>
      </c>
      <c r="E18">
        <v>0.38840000000000002</v>
      </c>
      <c r="F18">
        <v>0.7198</v>
      </c>
      <c r="G18">
        <v>0.74880000000000002</v>
      </c>
      <c r="H18">
        <v>0.23369999999999999</v>
      </c>
      <c r="I18">
        <v>0.15959999999999999</v>
      </c>
      <c r="J18">
        <v>0.49359999999999998</v>
      </c>
      <c r="L18">
        <v>2.0333999999999999</v>
      </c>
      <c r="M18">
        <v>2.0072999999999999</v>
      </c>
      <c r="N18">
        <v>1000</v>
      </c>
      <c r="T18"/>
      <c r="U18"/>
      <c r="V18"/>
      <c r="W18"/>
      <c r="AA18" t="s">
        <v>21</v>
      </c>
      <c r="AB18"/>
      <c r="AC18"/>
      <c r="AD18"/>
      <c r="AE18" t="s">
        <v>22</v>
      </c>
      <c r="AF18"/>
      <c r="AG18"/>
      <c r="AH18"/>
      <c r="AI18"/>
    </row>
    <row r="19" spans="1:36" ht="20" x14ac:dyDescent="0.25">
      <c r="A19" s="6"/>
      <c r="B19" s="6"/>
      <c r="C19" s="6" t="s">
        <v>12</v>
      </c>
      <c r="D19" s="174">
        <f>AVERAGE(D17:D18)</f>
        <v>2.1950000000000001E-2</v>
      </c>
      <c r="E19" s="174">
        <f t="shared" ref="E19:J19" si="3">AVERAGE(E17:E18)</f>
        <v>0.40429999999999999</v>
      </c>
      <c r="F19" s="174">
        <f t="shared" si="3"/>
        <v>0.70805000000000007</v>
      </c>
      <c r="G19" s="174">
        <f t="shared" si="3"/>
        <v>0.76869999999999994</v>
      </c>
      <c r="H19" s="174">
        <f t="shared" si="3"/>
        <v>0.25934999999999997</v>
      </c>
      <c r="I19" s="174">
        <f t="shared" si="3"/>
        <v>0.25109999999999999</v>
      </c>
      <c r="J19" s="174">
        <f t="shared" si="3"/>
        <v>0.56210000000000004</v>
      </c>
      <c r="L19">
        <v>1.016</v>
      </c>
      <c r="M19">
        <v>0.9899</v>
      </c>
      <c r="N19">
        <v>500</v>
      </c>
      <c r="T19"/>
      <c r="U19"/>
      <c r="V19"/>
      <c r="W19"/>
      <c r="X19" s="143"/>
      <c r="Y19" s="143"/>
      <c r="Z19" s="143"/>
      <c r="AA19" t="s">
        <v>23</v>
      </c>
      <c r="AB19"/>
      <c r="AC19"/>
      <c r="AD19"/>
      <c r="AE19">
        <v>450</v>
      </c>
      <c r="AF19" t="s">
        <v>24</v>
      </c>
      <c r="AG19"/>
      <c r="AH19"/>
      <c r="AI19"/>
    </row>
    <row r="20" spans="1:36" x14ac:dyDescent="0.2">
      <c r="A20" s="6"/>
      <c r="B20" s="6"/>
      <c r="C20" s="6" t="s">
        <v>16</v>
      </c>
      <c r="D20" s="96">
        <f>D19-$L$25</f>
        <v>-4.1500000000000009E-3</v>
      </c>
      <c r="E20" s="96">
        <f t="shared" ref="E20" si="4">E19-M34</f>
        <v>0.40429999999999999</v>
      </c>
      <c r="F20" s="96">
        <f t="shared" ref="F20" si="5">F19-N34</f>
        <v>0.70805000000000007</v>
      </c>
      <c r="G20" s="96">
        <f t="shared" ref="G20" si="6">G19-O34</f>
        <v>0.76869999999999994</v>
      </c>
      <c r="H20" s="96">
        <f t="shared" ref="H20" si="7">H19-P34</f>
        <v>0.25934999999999997</v>
      </c>
      <c r="I20" s="96">
        <f t="shared" ref="I20" si="8">I19-Q34</f>
        <v>0.25109999999999999</v>
      </c>
      <c r="J20" s="96">
        <f t="shared" ref="J20" si="9">J19-R34</f>
        <v>0.56210000000000004</v>
      </c>
      <c r="L20">
        <v>0.61</v>
      </c>
      <c r="M20">
        <v>0.58389999999999997</v>
      </c>
      <c r="N20">
        <v>250</v>
      </c>
      <c r="T20"/>
      <c r="U20"/>
      <c r="V20"/>
      <c r="W20"/>
      <c r="AA20" t="s">
        <v>25</v>
      </c>
      <c r="AB20"/>
      <c r="AC20"/>
      <c r="AD20"/>
      <c r="AE20">
        <v>10</v>
      </c>
      <c r="AF20" t="s">
        <v>24</v>
      </c>
      <c r="AG20"/>
      <c r="AH20"/>
      <c r="AI20"/>
    </row>
    <row r="21" spans="1:36" x14ac:dyDescent="0.2">
      <c r="A21" s="6"/>
      <c r="B21" s="6"/>
      <c r="C21" s="6" t="s">
        <v>18</v>
      </c>
      <c r="D21">
        <f>D19*$Q$6*D16</f>
        <v>10.8992725</v>
      </c>
      <c r="E21">
        <f>E19*$Q$6*E16</f>
        <v>2208.3068149999999</v>
      </c>
      <c r="F21">
        <f>F19*$Q$6*F16</f>
        <v>3867.4045025000005</v>
      </c>
      <c r="G21">
        <f>G19*$Q$6*G16</f>
        <v>4198.6778349999995</v>
      </c>
      <c r="H21">
        <f>H19*$Q$6*H16</f>
        <v>3863.4072749999996</v>
      </c>
      <c r="I21">
        <f>I19*$Q$6*I16</f>
        <v>3740.5111500000003</v>
      </c>
      <c r="J21">
        <f>J19*$Q$6*J16</f>
        <v>3070.2183050000003</v>
      </c>
      <c r="L21">
        <v>0.2014</v>
      </c>
      <c r="M21">
        <v>0.17530000000000001</v>
      </c>
      <c r="N21">
        <v>125</v>
      </c>
      <c r="T21"/>
      <c r="U21"/>
      <c r="V21"/>
      <c r="W21"/>
      <c r="AA21" t="s">
        <v>26</v>
      </c>
      <c r="AB21"/>
      <c r="AC21"/>
      <c r="AD21"/>
      <c r="AE21">
        <v>570</v>
      </c>
      <c r="AF21" t="s">
        <v>24</v>
      </c>
      <c r="AG21"/>
      <c r="AH21"/>
      <c r="AI21"/>
    </row>
    <row r="22" spans="1:36" x14ac:dyDescent="0.2">
      <c r="A22" s="6"/>
      <c r="B22" s="6"/>
      <c r="C22" s="6" t="s">
        <v>469</v>
      </c>
      <c r="D22">
        <f>D21*1.1</f>
        <v>11.989199750000001</v>
      </c>
      <c r="E22">
        <f t="shared" ref="E22" si="10">E21*1.1</f>
        <v>2429.1374965</v>
      </c>
      <c r="F22">
        <f t="shared" ref="F22" si="11">F21*1.1</f>
        <v>4254.1449527500008</v>
      </c>
      <c r="G22">
        <f t="shared" ref="G22" si="12">G21*1.1</f>
        <v>4618.5456185000003</v>
      </c>
      <c r="H22">
        <f t="shared" ref="H22" si="13">H21*1.1</f>
        <v>4249.7480024999995</v>
      </c>
      <c r="I22">
        <f t="shared" ref="I22" si="14">I21*1.1</f>
        <v>4114.5622650000005</v>
      </c>
      <c r="J22">
        <f t="shared" ref="J22" si="15">J21*1.1</f>
        <v>3377.2401355000006</v>
      </c>
      <c r="L22">
        <v>0.12870000000000001</v>
      </c>
      <c r="M22">
        <v>0.1026</v>
      </c>
      <c r="N22">
        <v>62.5</v>
      </c>
      <c r="T22"/>
      <c r="U22"/>
      <c r="V22"/>
      <c r="W22"/>
      <c r="AA22" t="s">
        <v>25</v>
      </c>
      <c r="AB22"/>
      <c r="AC22"/>
      <c r="AD22"/>
      <c r="AE22">
        <v>10</v>
      </c>
      <c r="AF22" t="s">
        <v>24</v>
      </c>
      <c r="AG22"/>
      <c r="AH22"/>
      <c r="AI22"/>
    </row>
    <row r="23" spans="1:36" x14ac:dyDescent="0.2">
      <c r="A23" s="6"/>
      <c r="B23" s="6"/>
      <c r="C23" s="6"/>
      <c r="L23">
        <v>6.8699999999999997E-2</v>
      </c>
      <c r="M23">
        <v>4.2599999999999999E-2</v>
      </c>
      <c r="N23">
        <v>31.25</v>
      </c>
      <c r="T23"/>
      <c r="U23"/>
      <c r="V23"/>
      <c r="W23"/>
      <c r="AA23" t="s">
        <v>28</v>
      </c>
      <c r="AB23"/>
      <c r="AC23"/>
      <c r="AD23"/>
      <c r="AE23">
        <v>25</v>
      </c>
      <c r="AF23"/>
      <c r="AG23"/>
      <c r="AH23"/>
      <c r="AI23"/>
    </row>
    <row r="24" spans="1:36" x14ac:dyDescent="0.2">
      <c r="A24" s="6"/>
      <c r="B24" s="6"/>
      <c r="C24" s="3" t="s">
        <v>27</v>
      </c>
      <c r="L24">
        <v>4.4499999999999998E-2</v>
      </c>
      <c r="M24">
        <v>1.84E-2</v>
      </c>
      <c r="N24">
        <v>15.625</v>
      </c>
      <c r="T24"/>
      <c r="U24"/>
      <c r="V24"/>
      <c r="W24"/>
      <c r="AA24" t="s">
        <v>30</v>
      </c>
      <c r="AB24"/>
      <c r="AC24"/>
      <c r="AD24"/>
      <c r="AE24">
        <v>0</v>
      </c>
      <c r="AF24" t="s">
        <v>31</v>
      </c>
      <c r="AG24"/>
      <c r="AH24"/>
      <c r="AI24"/>
    </row>
    <row r="25" spans="1:36" x14ac:dyDescent="0.2">
      <c r="A25" s="6"/>
      <c r="B25" s="6"/>
      <c r="C25" s="3" t="s">
        <v>29</v>
      </c>
      <c r="L25">
        <v>2.6100000000000002E-2</v>
      </c>
      <c r="M25">
        <v>0</v>
      </c>
      <c r="N25">
        <v>0</v>
      </c>
      <c r="T25"/>
      <c r="U25"/>
      <c r="V25"/>
      <c r="W25"/>
      <c r="AA25" t="s">
        <v>471</v>
      </c>
      <c r="AB25"/>
      <c r="AC25"/>
      <c r="AD25"/>
      <c r="AE25" t="s">
        <v>472</v>
      </c>
      <c r="AF25"/>
      <c r="AG25"/>
      <c r="AH25"/>
      <c r="AI25"/>
    </row>
    <row r="26" spans="1:36" x14ac:dyDescent="0.2">
      <c r="A26" s="6"/>
      <c r="B26" s="6"/>
      <c r="C26" s="6" t="s">
        <v>12</v>
      </c>
      <c r="D26" s="96"/>
      <c r="T26"/>
      <c r="U26"/>
      <c r="V26"/>
      <c r="W26"/>
      <c r="AA26" t="s">
        <v>32</v>
      </c>
      <c r="AB26" s="95">
        <v>43921.717141203706</v>
      </c>
      <c r="AC26"/>
      <c r="AD26"/>
      <c r="AE26"/>
      <c r="AF26"/>
      <c r="AG26"/>
      <c r="AH26"/>
      <c r="AI26"/>
    </row>
    <row r="27" spans="1:36" x14ac:dyDescent="0.2">
      <c r="A27" s="6"/>
      <c r="B27" s="6"/>
      <c r="C27" s="6" t="s">
        <v>16</v>
      </c>
      <c r="T27"/>
      <c r="U27"/>
      <c r="V27"/>
      <c r="W27"/>
      <c r="AA27"/>
      <c r="AB27"/>
      <c r="AC27"/>
      <c r="AD27"/>
      <c r="AE27"/>
      <c r="AF27"/>
      <c r="AG27"/>
      <c r="AH27"/>
      <c r="AI27"/>
    </row>
    <row r="28" spans="1:36" x14ac:dyDescent="0.2">
      <c r="A28" s="6"/>
      <c r="B28" s="6"/>
      <c r="C28" s="6" t="s">
        <v>18</v>
      </c>
      <c r="T28"/>
      <c r="U28"/>
      <c r="V28"/>
      <c r="W28"/>
      <c r="AA28"/>
      <c r="AB28" t="s">
        <v>473</v>
      </c>
      <c r="AC28"/>
      <c r="AD28"/>
      <c r="AE28"/>
      <c r="AF28"/>
      <c r="AG28"/>
      <c r="AH28"/>
      <c r="AI28"/>
    </row>
    <row r="29" spans="1:36" x14ac:dyDescent="0.2">
      <c r="A29" s="6"/>
      <c r="B29" s="6"/>
      <c r="C29" s="6"/>
      <c r="AA29" t="s">
        <v>35</v>
      </c>
      <c r="AB29"/>
      <c r="AC29"/>
      <c r="AD29"/>
      <c r="AE29"/>
      <c r="AF29"/>
      <c r="AG29"/>
      <c r="AH29"/>
      <c r="AI29"/>
    </row>
    <row r="30" spans="1:36" x14ac:dyDescent="0.2">
      <c r="A30" s="6"/>
      <c r="B30" s="6"/>
      <c r="C30" s="6"/>
      <c r="AA30" t="s">
        <v>37</v>
      </c>
      <c r="AB30">
        <v>1</v>
      </c>
      <c r="AC30">
        <v>2</v>
      </c>
      <c r="AD30">
        <v>3</v>
      </c>
      <c r="AE30">
        <v>4</v>
      </c>
      <c r="AF30">
        <v>5</v>
      </c>
      <c r="AG30">
        <v>6</v>
      </c>
      <c r="AH30">
        <v>7</v>
      </c>
      <c r="AI30">
        <v>8</v>
      </c>
      <c r="AJ30">
        <v>9</v>
      </c>
    </row>
    <row r="31" spans="1:36" x14ac:dyDescent="0.2">
      <c r="A31" s="6"/>
      <c r="B31" s="6"/>
      <c r="C31" s="3" t="s">
        <v>36</v>
      </c>
      <c r="AA31" t="s">
        <v>39</v>
      </c>
      <c r="AB31">
        <v>6.54E-2</v>
      </c>
      <c r="AC31">
        <v>0.30649999999999999</v>
      </c>
      <c r="AD31">
        <v>0.30919999999999997</v>
      </c>
      <c r="AE31">
        <v>0.29349999999999998</v>
      </c>
      <c r="AF31">
        <v>0.16389999999999999</v>
      </c>
      <c r="AG31">
        <v>0.1958</v>
      </c>
      <c r="AH31">
        <v>0.28360000000000002</v>
      </c>
      <c r="AI31">
        <v>2.0789</v>
      </c>
      <c r="AJ31">
        <v>0.1671</v>
      </c>
    </row>
    <row r="32" spans="1:36" x14ac:dyDescent="0.2">
      <c r="A32" s="6"/>
      <c r="B32" s="6"/>
      <c r="C32" s="3" t="s">
        <v>38</v>
      </c>
      <c r="AA32" t="s">
        <v>40</v>
      </c>
      <c r="AB32">
        <v>6.2300000000000001E-2</v>
      </c>
      <c r="AC32">
        <v>0.29089999999999999</v>
      </c>
      <c r="AD32">
        <v>0.30109999999999998</v>
      </c>
      <c r="AE32">
        <v>0.37</v>
      </c>
      <c r="AF32">
        <v>0.2213</v>
      </c>
      <c r="AG32">
        <v>0.18690000000000001</v>
      </c>
      <c r="AH32">
        <v>0.28589999999999999</v>
      </c>
      <c r="AI32">
        <v>1.0573999999999999</v>
      </c>
      <c r="AJ32">
        <v>8.3599999999999994E-2</v>
      </c>
    </row>
    <row r="33" spans="1:36" x14ac:dyDescent="0.2">
      <c r="A33" s="6"/>
      <c r="B33" s="6"/>
      <c r="C33" s="6" t="s">
        <v>12</v>
      </c>
      <c r="AA33" t="s">
        <v>41</v>
      </c>
      <c r="AB33">
        <v>6.1499999999999999E-2</v>
      </c>
      <c r="AC33">
        <v>0.46039999999999998</v>
      </c>
      <c r="AD33">
        <v>0.73750000000000004</v>
      </c>
      <c r="AE33">
        <v>0.82940000000000003</v>
      </c>
      <c r="AF33">
        <v>0.32429999999999998</v>
      </c>
      <c r="AG33">
        <v>0.3821</v>
      </c>
      <c r="AH33">
        <v>0.67120000000000002</v>
      </c>
      <c r="AI33">
        <v>0.6512</v>
      </c>
      <c r="AJ33">
        <v>0.10730000000000001</v>
      </c>
    </row>
    <row r="34" spans="1:36" x14ac:dyDescent="0.2">
      <c r="A34" s="6"/>
      <c r="B34" s="6"/>
      <c r="C34" s="6" t="s">
        <v>16</v>
      </c>
      <c r="AA34" t="s">
        <v>42</v>
      </c>
      <c r="AB34">
        <v>6.0100000000000001E-2</v>
      </c>
      <c r="AC34">
        <v>0.42870000000000003</v>
      </c>
      <c r="AD34">
        <v>0.76219999999999999</v>
      </c>
      <c r="AE34">
        <v>0.78900000000000003</v>
      </c>
      <c r="AF34">
        <v>0.27350000000000002</v>
      </c>
      <c r="AG34">
        <v>0.19989999999999999</v>
      </c>
      <c r="AH34">
        <v>0.53439999999999999</v>
      </c>
      <c r="AI34">
        <v>0.24279999999999999</v>
      </c>
      <c r="AJ34">
        <v>6.5000000000000002E-2</v>
      </c>
    </row>
    <row r="35" spans="1:36" x14ac:dyDescent="0.2">
      <c r="A35" s="6"/>
      <c r="B35" s="6"/>
      <c r="C35" s="6" t="s">
        <v>18</v>
      </c>
      <c r="AA35"/>
      <c r="AB35"/>
      <c r="AC35"/>
      <c r="AD35"/>
      <c r="AE35"/>
      <c r="AF35"/>
      <c r="AG35"/>
      <c r="AH35"/>
      <c r="AI35"/>
    </row>
    <row r="36" spans="1:36" x14ac:dyDescent="0.2">
      <c r="A36" s="6"/>
      <c r="B36" s="6"/>
      <c r="C36" s="6"/>
      <c r="AA36" t="s">
        <v>47</v>
      </c>
      <c r="AB36"/>
      <c r="AC36"/>
      <c r="AD36"/>
      <c r="AE36"/>
      <c r="AF36"/>
      <c r="AG36"/>
      <c r="AH36"/>
      <c r="AI36"/>
    </row>
    <row r="37" spans="1:36" x14ac:dyDescent="0.2">
      <c r="A37" s="6" t="s">
        <v>166</v>
      </c>
      <c r="B37" s="6"/>
      <c r="C37" s="6"/>
      <c r="AA37" t="s">
        <v>37</v>
      </c>
      <c r="AB37">
        <v>1</v>
      </c>
      <c r="AC37">
        <v>2</v>
      </c>
      <c r="AD37">
        <v>3</v>
      </c>
      <c r="AE37">
        <v>4</v>
      </c>
      <c r="AF37">
        <v>5</v>
      </c>
      <c r="AG37">
        <v>6</v>
      </c>
      <c r="AH37">
        <v>7</v>
      </c>
      <c r="AI37">
        <v>8</v>
      </c>
      <c r="AJ37">
        <v>9</v>
      </c>
    </row>
    <row r="38" spans="1:36" x14ac:dyDescent="0.2">
      <c r="A38" s="6"/>
      <c r="B38" s="6"/>
      <c r="C38" s="36"/>
      <c r="AA38" t="s">
        <v>39</v>
      </c>
      <c r="AB38">
        <v>4.0800000000000003E-2</v>
      </c>
      <c r="AC38">
        <v>3.9899999999999998E-2</v>
      </c>
      <c r="AD38">
        <v>3.9300000000000002E-2</v>
      </c>
      <c r="AE38">
        <v>4.0599999999999997E-2</v>
      </c>
      <c r="AF38">
        <v>3.9899999999999998E-2</v>
      </c>
      <c r="AG38">
        <v>4.1300000000000003E-2</v>
      </c>
      <c r="AH38">
        <v>3.95E-2</v>
      </c>
      <c r="AI38">
        <v>4.5499999999999999E-2</v>
      </c>
      <c r="AJ38">
        <v>3.8399999999999997E-2</v>
      </c>
    </row>
    <row r="39" spans="1:36" x14ac:dyDescent="0.2">
      <c r="A39" t="s">
        <v>155</v>
      </c>
      <c r="AA39" t="s">
        <v>40</v>
      </c>
      <c r="AB39">
        <v>3.9600000000000003E-2</v>
      </c>
      <c r="AC39">
        <v>0.04</v>
      </c>
      <c r="AD39">
        <v>4.0099999999999997E-2</v>
      </c>
      <c r="AE39">
        <v>3.8699999999999998E-2</v>
      </c>
      <c r="AF39">
        <v>3.9100000000000003E-2</v>
      </c>
      <c r="AG39">
        <v>3.95E-2</v>
      </c>
      <c r="AH39">
        <v>3.9100000000000003E-2</v>
      </c>
      <c r="AI39">
        <v>4.1399999999999999E-2</v>
      </c>
      <c r="AJ39">
        <v>3.9E-2</v>
      </c>
    </row>
    <row r="40" spans="1:36" x14ac:dyDescent="0.2">
      <c r="AA40" t="s">
        <v>41</v>
      </c>
      <c r="AB40">
        <v>3.9300000000000002E-2</v>
      </c>
      <c r="AC40">
        <v>4.0300000000000002E-2</v>
      </c>
      <c r="AD40">
        <v>4.1300000000000003E-2</v>
      </c>
      <c r="AE40">
        <v>4.0800000000000003E-2</v>
      </c>
      <c r="AF40">
        <v>3.9300000000000002E-2</v>
      </c>
      <c r="AG40">
        <v>3.95E-2</v>
      </c>
      <c r="AH40">
        <v>4.0599999999999997E-2</v>
      </c>
      <c r="AI40">
        <v>4.1300000000000003E-2</v>
      </c>
      <c r="AJ40">
        <v>3.8699999999999998E-2</v>
      </c>
    </row>
    <row r="41" spans="1:36" x14ac:dyDescent="0.2">
      <c r="AA41" t="s">
        <v>42</v>
      </c>
      <c r="AB41">
        <v>3.8399999999999997E-2</v>
      </c>
      <c r="AC41">
        <v>4.0300000000000002E-2</v>
      </c>
      <c r="AD41">
        <v>4.24E-2</v>
      </c>
      <c r="AE41">
        <v>4.02E-2</v>
      </c>
      <c r="AF41">
        <v>3.9800000000000002E-2</v>
      </c>
      <c r="AG41">
        <v>4.0300000000000002E-2</v>
      </c>
      <c r="AH41">
        <v>4.07E-2</v>
      </c>
      <c r="AI41">
        <v>4.1399999999999999E-2</v>
      </c>
      <c r="AJ41">
        <v>3.8899999999999997E-2</v>
      </c>
    </row>
    <row r="42" spans="1:36" x14ac:dyDescent="0.2">
      <c r="AA42"/>
      <c r="AB42"/>
      <c r="AC42"/>
      <c r="AD42"/>
      <c r="AE42"/>
      <c r="AF42"/>
      <c r="AG42"/>
      <c r="AH42"/>
      <c r="AI42"/>
    </row>
    <row r="43" spans="1:36" x14ac:dyDescent="0.2">
      <c r="A43" t="s">
        <v>468</v>
      </c>
      <c r="C43" t="s">
        <v>9</v>
      </c>
      <c r="D43">
        <f>D13</f>
        <v>12.917748250000001</v>
      </c>
      <c r="E43">
        <f t="shared" ref="E43:J43" si="16">E13</f>
        <v>706.6527187500003</v>
      </c>
      <c r="F43">
        <f t="shared" si="16"/>
        <v>725.08713750000004</v>
      </c>
      <c r="G43">
        <f t="shared" si="16"/>
        <v>797.73240250000015</v>
      </c>
      <c r="H43">
        <f t="shared" si="16"/>
        <v>920.16425325</v>
      </c>
      <c r="I43">
        <f t="shared" si="16"/>
        <v>906.94609225000011</v>
      </c>
      <c r="J43">
        <f t="shared" si="16"/>
        <v>670.33008625000002</v>
      </c>
      <c r="AA43" t="s">
        <v>50</v>
      </c>
      <c r="AB43"/>
      <c r="AC43"/>
      <c r="AD43"/>
      <c r="AE43"/>
      <c r="AF43"/>
      <c r="AG43"/>
      <c r="AH43"/>
      <c r="AI43" s="142" t="s">
        <v>397</v>
      </c>
      <c r="AJ43" s="142"/>
    </row>
    <row r="44" spans="1:36" x14ac:dyDescent="0.2">
      <c r="C44" t="s">
        <v>8</v>
      </c>
      <c r="D44">
        <f>D22</f>
        <v>11.989199750000001</v>
      </c>
      <c r="E44">
        <f t="shared" ref="E44:J44" si="17">E22</f>
        <v>2429.1374965</v>
      </c>
      <c r="F44">
        <f t="shared" si="17"/>
        <v>4254.1449527500008</v>
      </c>
      <c r="G44">
        <f t="shared" si="17"/>
        <v>4618.5456185000003</v>
      </c>
      <c r="H44">
        <f t="shared" si="17"/>
        <v>4249.7480024999995</v>
      </c>
      <c r="I44">
        <f t="shared" si="17"/>
        <v>4114.5622650000005</v>
      </c>
      <c r="J44">
        <f t="shared" si="17"/>
        <v>3377.2401355000006</v>
      </c>
      <c r="AA44" t="s">
        <v>37</v>
      </c>
      <c r="AB44">
        <v>1</v>
      </c>
      <c r="AC44">
        <v>2</v>
      </c>
      <c r="AD44">
        <v>3</v>
      </c>
      <c r="AE44">
        <v>4</v>
      </c>
      <c r="AF44">
        <v>5</v>
      </c>
      <c r="AG44">
        <v>6</v>
      </c>
      <c r="AH44">
        <v>7</v>
      </c>
      <c r="AI44">
        <v>8</v>
      </c>
      <c r="AJ44">
        <v>9</v>
      </c>
    </row>
    <row r="45" spans="1:36" x14ac:dyDescent="0.2">
      <c r="Z45" s="179"/>
      <c r="AA45" t="s">
        <v>39</v>
      </c>
      <c r="AB45">
        <v>2.46E-2</v>
      </c>
      <c r="AC45">
        <v>0.2666</v>
      </c>
      <c r="AD45">
        <v>0.27</v>
      </c>
      <c r="AE45">
        <v>0.25290000000000001</v>
      </c>
      <c r="AF45">
        <v>0.124</v>
      </c>
      <c r="AG45">
        <v>0.1545</v>
      </c>
      <c r="AH45">
        <v>0.24410000000000001</v>
      </c>
      <c r="AI45" s="96">
        <v>2.0333999999999999</v>
      </c>
      <c r="AJ45" s="96">
        <v>0.12870000000000001</v>
      </c>
    </row>
    <row r="46" spans="1:36" x14ac:dyDescent="0.2">
      <c r="A46" t="s">
        <v>470</v>
      </c>
      <c r="B46" t="s">
        <v>172</v>
      </c>
      <c r="C46" t="s">
        <v>9</v>
      </c>
      <c r="D46">
        <f>D43/$E43</f>
        <v>1.8280193236714971E-2</v>
      </c>
      <c r="E46">
        <f t="shared" ref="E46:J47" si="18">E43/$E43</f>
        <v>1</v>
      </c>
      <c r="F46">
        <f t="shared" si="18"/>
        <v>1.0260869565217388</v>
      </c>
      <c r="G46">
        <f t="shared" si="18"/>
        <v>1.1288888888888886</v>
      </c>
      <c r="H46">
        <f t="shared" si="18"/>
        <v>1.3021449275362313</v>
      </c>
      <c r="I46">
        <f t="shared" si="18"/>
        <v>1.2834396135265695</v>
      </c>
      <c r="J46">
        <f t="shared" si="18"/>
        <v>0.94859903381642474</v>
      </c>
      <c r="Z46" s="179"/>
      <c r="AA46" t="s">
        <v>40</v>
      </c>
      <c r="AB46">
        <v>2.2700000000000001E-2</v>
      </c>
      <c r="AC46">
        <v>0.25090000000000001</v>
      </c>
      <c r="AD46">
        <v>0.26100000000000001</v>
      </c>
      <c r="AE46">
        <v>0.33129999999999998</v>
      </c>
      <c r="AF46">
        <v>0.18229999999999999</v>
      </c>
      <c r="AG46">
        <v>0.1474</v>
      </c>
      <c r="AH46">
        <v>0.24679999999999999</v>
      </c>
      <c r="AI46" s="96">
        <v>1.016</v>
      </c>
      <c r="AJ46" s="96">
        <v>4.4499999999999998E-2</v>
      </c>
    </row>
    <row r="47" spans="1:36" x14ac:dyDescent="0.2">
      <c r="C47" t="s">
        <v>8</v>
      </c>
      <c r="D47">
        <f>D44/$E44</f>
        <v>4.935578890562814E-3</v>
      </c>
      <c r="E47">
        <f t="shared" si="18"/>
        <v>1</v>
      </c>
      <c r="F47">
        <f t="shared" si="18"/>
        <v>1.7512985406876085</v>
      </c>
      <c r="G47">
        <f t="shared" si="18"/>
        <v>1.901310907741776</v>
      </c>
      <c r="H47">
        <f t="shared" si="18"/>
        <v>1.7494884536685178</v>
      </c>
      <c r="I47">
        <f t="shared" si="18"/>
        <v>1.6938367099138805</v>
      </c>
      <c r="J47">
        <f t="shared" si="18"/>
        <v>1.3903042295325256</v>
      </c>
      <c r="Z47" s="180"/>
      <c r="AA47" t="s">
        <v>41</v>
      </c>
      <c r="AB47">
        <v>2.2200000000000001E-2</v>
      </c>
      <c r="AC47">
        <v>0.42020000000000002</v>
      </c>
      <c r="AD47">
        <v>0.69630000000000003</v>
      </c>
      <c r="AE47">
        <v>0.78859999999999997</v>
      </c>
      <c r="AF47">
        <v>0.28499999999999998</v>
      </c>
      <c r="AG47">
        <v>0.34260000000000002</v>
      </c>
      <c r="AH47">
        <v>0.63060000000000005</v>
      </c>
      <c r="AI47" s="96">
        <v>0.61</v>
      </c>
      <c r="AJ47" s="96">
        <v>6.8699999999999997E-2</v>
      </c>
    </row>
    <row r="48" spans="1:36" x14ac:dyDescent="0.2">
      <c r="Z48" s="180"/>
      <c r="AA48" t="s">
        <v>42</v>
      </c>
      <c r="AB48">
        <v>2.1700000000000001E-2</v>
      </c>
      <c r="AC48">
        <v>0.38840000000000002</v>
      </c>
      <c r="AD48">
        <v>0.7198</v>
      </c>
      <c r="AE48">
        <v>0.74880000000000002</v>
      </c>
      <c r="AF48">
        <v>0.23369999999999999</v>
      </c>
      <c r="AG48">
        <v>0.15959999999999999</v>
      </c>
      <c r="AH48">
        <v>0.49359999999999998</v>
      </c>
      <c r="AI48" s="96">
        <v>0.2014</v>
      </c>
      <c r="AJ48" s="96">
        <v>2.6100000000000002E-2</v>
      </c>
    </row>
    <row r="49" spans="1:36" x14ac:dyDescent="0.2">
      <c r="AA49"/>
      <c r="AB49"/>
      <c r="AC49"/>
      <c r="AD49"/>
      <c r="AE49"/>
      <c r="AF49"/>
      <c r="AG49"/>
      <c r="AH49"/>
      <c r="AI49"/>
    </row>
    <row r="50" spans="1:36" x14ac:dyDescent="0.2">
      <c r="AA50"/>
      <c r="AB50"/>
      <c r="AC50"/>
      <c r="AD50"/>
      <c r="AE50"/>
      <c r="AF50"/>
      <c r="AG50"/>
      <c r="AH50"/>
      <c r="AI50"/>
    </row>
    <row r="51" spans="1:36" x14ac:dyDescent="0.2">
      <c r="A51" t="s">
        <v>156</v>
      </c>
      <c r="AA51" t="s">
        <v>51</v>
      </c>
      <c r="AB51" s="95">
        <v>43921.717893518522</v>
      </c>
      <c r="AC51"/>
      <c r="AD51"/>
      <c r="AE51"/>
      <c r="AF51"/>
      <c r="AG51"/>
      <c r="AH51"/>
      <c r="AI51"/>
    </row>
    <row r="53" spans="1:36" x14ac:dyDescent="0.2">
      <c r="Z53" s="177" t="s">
        <v>475</v>
      </c>
      <c r="AA53" s="177" t="str">
        <f>AA44</f>
        <v>&lt;&gt;</v>
      </c>
      <c r="AB53" s="177">
        <f t="shared" ref="AB53:AJ53" si="19">AB44</f>
        <v>1</v>
      </c>
      <c r="AC53" s="177">
        <f t="shared" si="19"/>
        <v>2</v>
      </c>
      <c r="AD53" s="177">
        <f t="shared" si="19"/>
        <v>3</v>
      </c>
      <c r="AE53" s="177">
        <f t="shared" si="19"/>
        <v>4</v>
      </c>
      <c r="AF53" s="177">
        <f t="shared" si="19"/>
        <v>5</v>
      </c>
      <c r="AG53" s="177">
        <f t="shared" si="19"/>
        <v>6</v>
      </c>
      <c r="AH53" s="177">
        <f t="shared" si="19"/>
        <v>7</v>
      </c>
      <c r="AI53" s="177">
        <f t="shared" si="19"/>
        <v>8</v>
      </c>
      <c r="AJ53" s="177">
        <f t="shared" si="19"/>
        <v>9</v>
      </c>
    </row>
    <row r="54" spans="1:36" x14ac:dyDescent="0.2">
      <c r="Z54" s="179" t="s">
        <v>9</v>
      </c>
      <c r="AA54" s="177" t="str">
        <f t="shared" ref="AA54:AA59" si="20">AA45</f>
        <v>A</v>
      </c>
      <c r="AB54" s="96" t="s">
        <v>476</v>
      </c>
      <c r="AC54" s="96" t="s">
        <v>477</v>
      </c>
      <c r="AD54" s="96" t="s">
        <v>478</v>
      </c>
      <c r="AE54" s="96" t="s">
        <v>479</v>
      </c>
      <c r="AF54" s="96" t="s">
        <v>480</v>
      </c>
      <c r="AG54" s="96" t="s">
        <v>481</v>
      </c>
      <c r="AH54" s="96" t="s">
        <v>482</v>
      </c>
    </row>
    <row r="55" spans="1:36" x14ac:dyDescent="0.2">
      <c r="Z55" s="179"/>
      <c r="AA55" s="177" t="str">
        <f t="shared" si="20"/>
        <v>B</v>
      </c>
      <c r="AB55" s="96" t="s">
        <v>483</v>
      </c>
      <c r="AC55" s="96" t="s">
        <v>484</v>
      </c>
      <c r="AD55" s="96" t="s">
        <v>485</v>
      </c>
      <c r="AE55" s="96" t="s">
        <v>486</v>
      </c>
      <c r="AF55" s="96" t="s">
        <v>487</v>
      </c>
      <c r="AG55" s="96" t="s">
        <v>488</v>
      </c>
      <c r="AH55" s="96" t="s">
        <v>489</v>
      </c>
    </row>
    <row r="56" spans="1:36" x14ac:dyDescent="0.2">
      <c r="Z56" s="180" t="s">
        <v>8</v>
      </c>
      <c r="AA56" s="177" t="str">
        <f t="shared" si="20"/>
        <v>C</v>
      </c>
      <c r="AB56" s="96" t="s">
        <v>490</v>
      </c>
      <c r="AC56" s="96" t="s">
        <v>491</v>
      </c>
      <c r="AD56" s="96" t="s">
        <v>492</v>
      </c>
      <c r="AE56" s="96" t="s">
        <v>493</v>
      </c>
      <c r="AF56" s="96" t="s">
        <v>494</v>
      </c>
      <c r="AG56" s="96" t="s">
        <v>495</v>
      </c>
      <c r="AH56" s="96" t="s">
        <v>496</v>
      </c>
    </row>
    <row r="57" spans="1:36" x14ac:dyDescent="0.2">
      <c r="Z57" s="180"/>
      <c r="AA57" s="177" t="str">
        <f t="shared" si="20"/>
        <v>D</v>
      </c>
      <c r="AB57" s="96" t="s">
        <v>497</v>
      </c>
      <c r="AC57" s="96" t="s">
        <v>498</v>
      </c>
      <c r="AD57" s="96" t="s">
        <v>499</v>
      </c>
      <c r="AE57" s="96" t="s">
        <v>500</v>
      </c>
      <c r="AF57" s="96" t="s">
        <v>501</v>
      </c>
      <c r="AG57" s="96" t="s">
        <v>502</v>
      </c>
      <c r="AH57" s="96" t="s">
        <v>503</v>
      </c>
    </row>
  </sheetData>
  <mergeCells count="7">
    <mergeCell ref="Z56:Z57"/>
    <mergeCell ref="D4:J4"/>
    <mergeCell ref="D15:J15"/>
    <mergeCell ref="AI43:AJ43"/>
    <mergeCell ref="Z45:Z46"/>
    <mergeCell ref="Z47:Z48"/>
    <mergeCell ref="Z54:Z5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06D5C-EA6B-FD40-8D78-C1873837B770}">
  <dimension ref="A1:AN73"/>
  <sheetViews>
    <sheetView topLeftCell="A3" workbookViewId="0">
      <selection activeCell="R13" sqref="R13"/>
    </sheetView>
  </sheetViews>
  <sheetFormatPr baseColWidth="10" defaultRowHeight="16" x14ac:dyDescent="0.2"/>
  <cols>
    <col min="1" max="1" width="32.5" customWidth="1"/>
    <col min="2" max="2" width="13.5" bestFit="1" customWidth="1"/>
    <col min="3" max="3" width="30" bestFit="1" customWidth="1"/>
    <col min="18" max="29" width="10.83203125" style="177"/>
    <col min="30" max="30" width="17.1640625" style="177" bestFit="1" customWidth="1"/>
    <col min="31" max="31" width="18.5" style="177" customWidth="1"/>
    <col min="32" max="32" width="15" style="177" bestFit="1" customWidth="1"/>
    <col min="33" max="33" width="13.5" style="177" bestFit="1" customWidth="1"/>
    <col min="34" max="34" width="17.83203125" bestFit="1" customWidth="1"/>
  </cols>
  <sheetData>
    <row r="1" spans="1:40" x14ac:dyDescent="0.2">
      <c r="A1" s="6"/>
      <c r="B1" s="6"/>
      <c r="C1" s="6"/>
      <c r="AA1" t="s">
        <v>2</v>
      </c>
      <c r="AB1"/>
      <c r="AC1"/>
      <c r="AD1"/>
      <c r="AE1" t="s">
        <v>3</v>
      </c>
      <c r="AF1"/>
      <c r="AG1"/>
    </row>
    <row r="2" spans="1:40" x14ac:dyDescent="0.2">
      <c r="A2" s="3" t="s">
        <v>162</v>
      </c>
      <c r="B2" s="6"/>
      <c r="C2" s="6"/>
      <c r="AA2" t="s">
        <v>4</v>
      </c>
      <c r="AB2"/>
      <c r="AC2"/>
      <c r="AD2"/>
      <c r="AE2" t="s">
        <v>5</v>
      </c>
      <c r="AF2"/>
      <c r="AG2"/>
    </row>
    <row r="3" spans="1:40" ht="32" x14ac:dyDescent="0.2">
      <c r="A3" s="5" t="s">
        <v>152</v>
      </c>
      <c r="B3" s="5"/>
      <c r="C3" s="6"/>
      <c r="AA3" t="s">
        <v>6</v>
      </c>
      <c r="AB3"/>
      <c r="AC3"/>
      <c r="AD3"/>
      <c r="AE3" t="s">
        <v>7</v>
      </c>
      <c r="AF3"/>
      <c r="AG3"/>
    </row>
    <row r="4" spans="1:40" x14ac:dyDescent="0.2">
      <c r="A4" s="3"/>
      <c r="B4" s="3"/>
      <c r="N4" s="96" t="s">
        <v>457</v>
      </c>
      <c r="AA4"/>
      <c r="AB4"/>
      <c r="AC4"/>
      <c r="AD4"/>
      <c r="AE4"/>
      <c r="AF4"/>
      <c r="AG4"/>
    </row>
    <row r="5" spans="1:40" x14ac:dyDescent="0.2">
      <c r="A5" s="3" t="s">
        <v>169</v>
      </c>
      <c r="B5" s="3" t="s">
        <v>504</v>
      </c>
      <c r="C5" s="6"/>
      <c r="D5" s="96" t="s">
        <v>188</v>
      </c>
      <c r="E5" s="96" t="s">
        <v>133</v>
      </c>
      <c r="F5" s="96" t="s">
        <v>452</v>
      </c>
      <c r="G5" s="96" t="s">
        <v>453</v>
      </c>
      <c r="H5" s="96" t="s">
        <v>454</v>
      </c>
      <c r="I5" s="96" t="s">
        <v>455</v>
      </c>
      <c r="J5" s="96" t="s">
        <v>456</v>
      </c>
      <c r="N5" t="s">
        <v>12</v>
      </c>
      <c r="P5" t="s">
        <v>18</v>
      </c>
      <c r="AA5" t="s">
        <v>52</v>
      </c>
      <c r="AB5" s="93">
        <v>43938</v>
      </c>
      <c r="AC5"/>
      <c r="AD5"/>
      <c r="AE5"/>
      <c r="AF5"/>
      <c r="AG5"/>
    </row>
    <row r="6" spans="1:40" x14ac:dyDescent="0.2">
      <c r="A6" s="3" t="s">
        <v>170</v>
      </c>
      <c r="B6" s="3" t="s">
        <v>506</v>
      </c>
      <c r="D6" s="176" t="s">
        <v>9</v>
      </c>
      <c r="E6" s="176"/>
      <c r="F6" s="176"/>
      <c r="G6" s="176"/>
      <c r="H6" s="176"/>
      <c r="I6" s="176"/>
      <c r="J6" s="176"/>
      <c r="L6">
        <v>1.4408000000000001</v>
      </c>
      <c r="M6">
        <v>1.5341</v>
      </c>
      <c r="N6">
        <v>1.4874499999999999</v>
      </c>
      <c r="O6">
        <f>N6-$N$13</f>
        <v>1.4650999999999998</v>
      </c>
      <c r="P6">
        <v>1000</v>
      </c>
      <c r="AA6" t="s">
        <v>53</v>
      </c>
      <c r="AB6" s="94">
        <v>0.74349537037037028</v>
      </c>
      <c r="AC6"/>
      <c r="AD6"/>
      <c r="AE6"/>
      <c r="AF6"/>
      <c r="AG6"/>
    </row>
    <row r="7" spans="1:40" x14ac:dyDescent="0.2">
      <c r="A7" s="6" t="s">
        <v>178</v>
      </c>
      <c r="B7" s="3"/>
      <c r="C7" t="s">
        <v>451</v>
      </c>
      <c r="D7">
        <v>1</v>
      </c>
      <c r="E7">
        <v>2</v>
      </c>
      <c r="F7">
        <v>2</v>
      </c>
      <c r="G7">
        <v>2</v>
      </c>
      <c r="H7">
        <v>5</v>
      </c>
      <c r="I7">
        <v>5</v>
      </c>
      <c r="J7">
        <v>2</v>
      </c>
      <c r="L7">
        <v>0.64990000000000003</v>
      </c>
      <c r="M7">
        <v>0.67530000000000001</v>
      </c>
      <c r="N7">
        <v>0.66259999999999997</v>
      </c>
      <c r="O7">
        <f t="shared" ref="O7:O13" si="0">N7-N$13</f>
        <v>0.64024999999999999</v>
      </c>
      <c r="P7">
        <v>500</v>
      </c>
      <c r="AA7"/>
      <c r="AB7"/>
      <c r="AC7"/>
      <c r="AD7"/>
      <c r="AE7"/>
      <c r="AF7"/>
      <c r="AG7"/>
    </row>
    <row r="8" spans="1:40" x14ac:dyDescent="0.2">
      <c r="B8" s="6"/>
      <c r="C8" t="s">
        <v>84</v>
      </c>
      <c r="D8" s="96">
        <v>2.0899999999999998E-2</v>
      </c>
      <c r="E8" s="96">
        <v>0.2455</v>
      </c>
      <c r="F8" s="96">
        <v>0.24629999999999999</v>
      </c>
      <c r="G8" s="96">
        <v>9.7199999999999995E-2</v>
      </c>
      <c r="H8" s="96">
        <v>0.1095</v>
      </c>
      <c r="I8" s="96">
        <v>0.12130000000000001</v>
      </c>
      <c r="J8" s="96">
        <v>0.3135</v>
      </c>
      <c r="L8">
        <v>0.33379999999999999</v>
      </c>
      <c r="M8">
        <v>0.36399999999999999</v>
      </c>
      <c r="N8">
        <v>0.34889999999999999</v>
      </c>
      <c r="O8">
        <f t="shared" si="0"/>
        <v>0.32655000000000001</v>
      </c>
      <c r="P8">
        <v>250</v>
      </c>
      <c r="AA8"/>
      <c r="AB8"/>
      <c r="AC8"/>
      <c r="AD8"/>
      <c r="AE8"/>
      <c r="AF8"/>
      <c r="AG8"/>
    </row>
    <row r="9" spans="1:40" x14ac:dyDescent="0.2">
      <c r="A9" s="54"/>
      <c r="B9" s="54"/>
      <c r="C9" t="s">
        <v>85</v>
      </c>
      <c r="D9" s="96">
        <v>2.06E-2</v>
      </c>
      <c r="E9" s="96">
        <v>0.2248</v>
      </c>
      <c r="F9" s="96">
        <v>0.25919999999999999</v>
      </c>
      <c r="G9" s="96">
        <v>9.2700000000000005E-2</v>
      </c>
      <c r="H9" s="96">
        <v>0.1018</v>
      </c>
      <c r="I9" s="96">
        <v>0.12520000000000001</v>
      </c>
      <c r="J9" s="96">
        <v>0.28199999999999997</v>
      </c>
      <c r="L9">
        <v>0.15160000000000001</v>
      </c>
      <c r="M9">
        <v>0.16900000000000001</v>
      </c>
      <c r="N9">
        <v>0.1603</v>
      </c>
      <c r="O9">
        <f t="shared" si="0"/>
        <v>0.13794999999999999</v>
      </c>
      <c r="P9">
        <v>125</v>
      </c>
      <c r="AA9" t="s">
        <v>10</v>
      </c>
      <c r="AB9"/>
      <c r="AC9"/>
      <c r="AD9"/>
      <c r="AE9" t="s">
        <v>11</v>
      </c>
      <c r="AF9"/>
      <c r="AG9"/>
    </row>
    <row r="10" spans="1:40" ht="20" x14ac:dyDescent="0.25">
      <c r="A10" s="54"/>
      <c r="B10" s="3"/>
      <c r="C10" t="s">
        <v>12</v>
      </c>
      <c r="D10" s="175">
        <f>AVERAGE(D8:D9)</f>
        <v>2.0749999999999998E-2</v>
      </c>
      <c r="E10" s="175">
        <f t="shared" ref="E10:J10" si="1">AVERAGE(E8:E9)</f>
        <v>0.23515</v>
      </c>
      <c r="F10" s="175">
        <f t="shared" si="1"/>
        <v>0.25274999999999997</v>
      </c>
      <c r="G10" s="175">
        <f t="shared" si="1"/>
        <v>9.4950000000000007E-2</v>
      </c>
      <c r="H10" s="175">
        <f t="shared" si="1"/>
        <v>0.10564999999999999</v>
      </c>
      <c r="I10" s="175">
        <f t="shared" si="1"/>
        <v>0.12325</v>
      </c>
      <c r="J10" s="175">
        <f t="shared" si="1"/>
        <v>0.29774999999999996</v>
      </c>
      <c r="L10">
        <v>8.77E-2</v>
      </c>
      <c r="M10">
        <v>8.3099999999999993E-2</v>
      </c>
      <c r="N10">
        <v>8.5400000000000004E-2</v>
      </c>
      <c r="O10">
        <f t="shared" si="0"/>
        <v>6.3050000000000009E-2</v>
      </c>
      <c r="P10">
        <v>62.5</v>
      </c>
      <c r="AA10" t="s">
        <v>14</v>
      </c>
      <c r="AB10"/>
      <c r="AC10"/>
      <c r="AD10"/>
      <c r="AE10" t="s">
        <v>15</v>
      </c>
      <c r="AF10"/>
      <c r="AG10"/>
    </row>
    <row r="11" spans="1:40" s="181" customFormat="1" ht="44" customHeight="1" x14ac:dyDescent="0.2">
      <c r="A11" s="11" t="s">
        <v>161</v>
      </c>
      <c r="B11" s="12"/>
      <c r="C11" s="181" t="s">
        <v>80</v>
      </c>
      <c r="D11" s="185">
        <f t="shared" ref="D11:J11" si="2">D10-$N$13</f>
        <v>-1.6000000000000007E-3</v>
      </c>
      <c r="E11" s="185">
        <f t="shared" si="2"/>
        <v>0.21279999999999999</v>
      </c>
      <c r="F11" s="185">
        <f t="shared" si="2"/>
        <v>0.23039999999999997</v>
      </c>
      <c r="G11" s="185">
        <f t="shared" si="2"/>
        <v>7.2600000000000012E-2</v>
      </c>
      <c r="H11" s="185">
        <f t="shared" si="2"/>
        <v>8.3299999999999999E-2</v>
      </c>
      <c r="I11" s="185">
        <f t="shared" si="2"/>
        <v>0.1009</v>
      </c>
      <c r="J11" s="185">
        <f t="shared" si="2"/>
        <v>0.27539999999999998</v>
      </c>
      <c r="L11" s="181">
        <v>4.8899999999999999E-2</v>
      </c>
      <c r="M11" s="181">
        <v>5.21E-2</v>
      </c>
      <c r="N11" s="181">
        <v>5.0500000000000003E-2</v>
      </c>
      <c r="O11" s="181">
        <f t="shared" si="0"/>
        <v>2.8150000000000005E-2</v>
      </c>
      <c r="P11" s="181">
        <v>31.25</v>
      </c>
      <c r="R11" s="188"/>
      <c r="S11" s="188"/>
      <c r="T11" s="188"/>
      <c r="U11" s="188"/>
      <c r="V11" s="188"/>
      <c r="W11" s="188"/>
      <c r="X11" s="188"/>
      <c r="Y11" s="188"/>
      <c r="Z11" s="188"/>
      <c r="AA11" t="s">
        <v>17</v>
      </c>
      <c r="AB11"/>
      <c r="AC11"/>
      <c r="AD11"/>
      <c r="AE11" t="s">
        <v>281</v>
      </c>
      <c r="AF11"/>
      <c r="AG11"/>
      <c r="AH11"/>
      <c r="AI11"/>
      <c r="AJ11"/>
      <c r="AK11"/>
      <c r="AL11"/>
      <c r="AM11"/>
      <c r="AN11"/>
    </row>
    <row r="12" spans="1:40" s="181" customFormat="1" x14ac:dyDescent="0.2">
      <c r="A12" s="12" t="s">
        <v>151</v>
      </c>
      <c r="B12" s="11"/>
      <c r="C12" s="181" t="s">
        <v>505</v>
      </c>
      <c r="D12" s="185">
        <f>D10*$O$15*D7</f>
        <v>14.588287499999998</v>
      </c>
      <c r="E12" s="185">
        <f t="shared" ref="E12:I12" si="3">E10*$O$15*E7</f>
        <v>330.64441499999998</v>
      </c>
      <c r="F12" s="185">
        <f t="shared" si="3"/>
        <v>355.39177499999994</v>
      </c>
      <c r="G12" s="185">
        <f t="shared" si="3"/>
        <v>133.50919500000001</v>
      </c>
      <c r="H12" s="185">
        <f t="shared" si="3"/>
        <v>371.38616249999995</v>
      </c>
      <c r="I12" s="185">
        <f t="shared" si="3"/>
        <v>433.25456249999996</v>
      </c>
      <c r="J12" s="185">
        <f>J10*$O$15</f>
        <v>209.33313749999996</v>
      </c>
      <c r="L12" s="181">
        <v>3.5700000000000003E-2</v>
      </c>
      <c r="M12" s="181">
        <v>3.6400000000000002E-2</v>
      </c>
      <c r="N12" s="181">
        <v>3.6049999999999999E-2</v>
      </c>
      <c r="O12" s="181">
        <f t="shared" si="0"/>
        <v>1.37E-2</v>
      </c>
      <c r="P12" s="181">
        <v>15.625</v>
      </c>
      <c r="R12" s="188"/>
      <c r="S12" s="188"/>
      <c r="T12" s="188"/>
      <c r="U12" s="188"/>
      <c r="V12" s="188"/>
      <c r="W12" s="188"/>
      <c r="X12" s="188"/>
      <c r="Y12" s="188"/>
      <c r="Z12" s="18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81" customFormat="1" x14ac:dyDescent="0.2">
      <c r="B13" s="12"/>
      <c r="C13" s="12" t="s">
        <v>469</v>
      </c>
      <c r="D13" s="185">
        <f>D12*1.1</f>
        <v>16.047116249999998</v>
      </c>
      <c r="E13" s="185">
        <f t="shared" ref="E13:J13" si="4">E12*1.1</f>
        <v>363.70885650000002</v>
      </c>
      <c r="F13" s="185">
        <f t="shared" si="4"/>
        <v>390.93095249999999</v>
      </c>
      <c r="G13" s="185">
        <f t="shared" si="4"/>
        <v>146.86011450000001</v>
      </c>
      <c r="H13" s="185">
        <f t="shared" si="4"/>
        <v>408.52477875</v>
      </c>
      <c r="I13" s="185">
        <f t="shared" si="4"/>
        <v>476.58001875000002</v>
      </c>
      <c r="J13" s="185">
        <f t="shared" si="4"/>
        <v>230.26645124999999</v>
      </c>
      <c r="L13" s="181">
        <v>2.2599999999999999E-2</v>
      </c>
      <c r="M13" s="181">
        <v>2.2100000000000002E-2</v>
      </c>
      <c r="N13" s="183">
        <v>2.2349999999999998E-2</v>
      </c>
      <c r="O13" s="181">
        <f t="shared" si="0"/>
        <v>0</v>
      </c>
      <c r="P13" s="181">
        <v>0</v>
      </c>
      <c r="R13" s="188"/>
      <c r="S13" s="188"/>
      <c r="T13" s="188"/>
      <c r="U13" s="188"/>
      <c r="V13" s="188"/>
      <c r="W13" s="188"/>
      <c r="X13" s="188"/>
      <c r="Y13" s="188"/>
      <c r="Z13" s="188"/>
      <c r="AA13" t="s">
        <v>276</v>
      </c>
      <c r="AB13"/>
      <c r="AC13"/>
      <c r="AD13"/>
      <c r="AE13">
        <v>1</v>
      </c>
      <c r="AF13" t="s">
        <v>277</v>
      </c>
      <c r="AG13"/>
      <c r="AH13"/>
      <c r="AI13"/>
      <c r="AJ13"/>
      <c r="AK13"/>
      <c r="AL13"/>
      <c r="AM13"/>
      <c r="AN13"/>
    </row>
    <row r="14" spans="1:40" s="181" customFormat="1" x14ac:dyDescent="0.2">
      <c r="A14" s="3"/>
      <c r="B14" s="12"/>
      <c r="D14" s="185"/>
      <c r="E14" s="185"/>
      <c r="F14" s="185"/>
      <c r="G14" s="185"/>
      <c r="H14" s="185"/>
      <c r="I14" s="185"/>
      <c r="J14" s="185"/>
      <c r="O14" s="181" t="s">
        <v>64</v>
      </c>
      <c r="R14" s="188"/>
      <c r="S14" s="188"/>
      <c r="T14" s="188"/>
      <c r="U14" s="188"/>
      <c r="V14" s="188"/>
      <c r="W14" s="188"/>
      <c r="X14" s="188"/>
      <c r="Y14" s="188"/>
      <c r="Z14" s="188"/>
      <c r="AA14" t="s">
        <v>278</v>
      </c>
      <c r="AB14"/>
      <c r="AC14"/>
      <c r="AD14"/>
      <c r="AE14">
        <v>1</v>
      </c>
      <c r="AF14" t="s">
        <v>279</v>
      </c>
      <c r="AG14"/>
      <c r="AH14"/>
      <c r="AI14"/>
      <c r="AJ14"/>
      <c r="AK14"/>
      <c r="AL14"/>
      <c r="AM14"/>
      <c r="AN14"/>
    </row>
    <row r="15" spans="1:40" s="181" customFormat="1" x14ac:dyDescent="0.2">
      <c r="A15" s="3" t="s">
        <v>170</v>
      </c>
      <c r="B15" s="12"/>
      <c r="D15" s="186" t="s">
        <v>8</v>
      </c>
      <c r="E15" s="186"/>
      <c r="F15" s="186"/>
      <c r="G15" s="186"/>
      <c r="H15" s="186"/>
      <c r="I15" s="186"/>
      <c r="J15" s="186"/>
      <c r="N15" s="181" t="s">
        <v>458</v>
      </c>
      <c r="O15" s="182">
        <v>703.05</v>
      </c>
      <c r="P15" s="181" t="s">
        <v>459</v>
      </c>
      <c r="R15" s="188"/>
      <c r="S15" s="188"/>
      <c r="T15" s="188"/>
      <c r="U15" s="188"/>
      <c r="V15" s="188"/>
      <c r="W15" s="188"/>
      <c r="X15" s="188"/>
      <c r="Y15" s="188"/>
      <c r="Z15" s="18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81" customFormat="1" x14ac:dyDescent="0.2">
      <c r="A16" s="6" t="s">
        <v>178</v>
      </c>
      <c r="B16" s="12"/>
      <c r="C16" s="181" t="s">
        <v>451</v>
      </c>
      <c r="D16" s="185">
        <v>1</v>
      </c>
      <c r="E16" s="185">
        <v>2</v>
      </c>
      <c r="F16" s="185">
        <v>2</v>
      </c>
      <c r="G16" s="185">
        <v>5</v>
      </c>
      <c r="H16" s="185">
        <v>5</v>
      </c>
      <c r="I16" s="185">
        <v>5</v>
      </c>
      <c r="J16" s="185">
        <v>2</v>
      </c>
      <c r="R16" s="188"/>
      <c r="S16" s="188"/>
      <c r="T16" s="188"/>
      <c r="U16" s="188"/>
      <c r="V16" s="188"/>
      <c r="W16" s="188"/>
      <c r="X16" s="188"/>
      <c r="Y16" s="188"/>
      <c r="Z16" s="188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81" customFormat="1" x14ac:dyDescent="0.2">
      <c r="A17" s="12"/>
      <c r="B17" s="12"/>
      <c r="C17" s="10" t="s">
        <v>19</v>
      </c>
      <c r="D17" s="96">
        <v>2.1299999999999999E-2</v>
      </c>
      <c r="E17" s="96">
        <v>1.4332</v>
      </c>
      <c r="F17" s="96">
        <v>1.3023</v>
      </c>
      <c r="G17" s="96">
        <v>0.67459999999999998</v>
      </c>
      <c r="H17" s="96">
        <v>0.76949999999999996</v>
      </c>
      <c r="I17" s="96">
        <v>1.0295000000000001</v>
      </c>
      <c r="J17" s="96">
        <v>1.2934000000000001</v>
      </c>
      <c r="N17" s="181" t="s">
        <v>460</v>
      </c>
      <c r="O17" s="181">
        <v>0.99390000000000001</v>
      </c>
      <c r="R17" s="188"/>
      <c r="S17" s="188"/>
      <c r="T17" s="188"/>
      <c r="U17" s="188"/>
      <c r="V17" s="188"/>
      <c r="W17" s="188"/>
      <c r="X17" s="188"/>
      <c r="Y17" s="188"/>
      <c r="Z17" s="188"/>
      <c r="AA17" t="s">
        <v>192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x14ac:dyDescent="0.2">
      <c r="A18" s="6"/>
      <c r="B18" s="6"/>
      <c r="C18" s="3" t="s">
        <v>20</v>
      </c>
      <c r="D18" s="96">
        <v>2.1399999999999999E-2</v>
      </c>
      <c r="E18" s="96">
        <v>1.0228999999999999</v>
      </c>
      <c r="F18" s="96">
        <v>1.3823000000000001</v>
      </c>
      <c r="G18" s="96">
        <v>0.66720000000000002</v>
      </c>
      <c r="H18" s="96">
        <v>0.77969999999999995</v>
      </c>
      <c r="I18" s="96">
        <v>0.88660000000000005</v>
      </c>
      <c r="J18" s="96">
        <v>1.0891</v>
      </c>
      <c r="AA18" t="s">
        <v>21</v>
      </c>
      <c r="AB18"/>
      <c r="AC18"/>
      <c r="AD18"/>
      <c r="AE18" t="s">
        <v>22</v>
      </c>
      <c r="AF18"/>
      <c r="AG18"/>
    </row>
    <row r="19" spans="1:40" ht="20" x14ac:dyDescent="0.25">
      <c r="A19" s="6"/>
      <c r="B19" s="6"/>
      <c r="C19" s="6" t="s">
        <v>12</v>
      </c>
      <c r="D19" s="175">
        <f>AVERAGE(D17:D18)</f>
        <v>2.1350000000000001E-2</v>
      </c>
      <c r="E19" s="175">
        <f>AVERAGE(E17:E18)</f>
        <v>1.2280500000000001</v>
      </c>
      <c r="F19" s="175">
        <f>AVERAGE(F17:F18)</f>
        <v>1.3423</v>
      </c>
      <c r="G19" s="175">
        <f>AVERAGE(G17:G18)</f>
        <v>0.67090000000000005</v>
      </c>
      <c r="H19" s="175">
        <f>AVERAGE(H17:H18)</f>
        <v>0.77459999999999996</v>
      </c>
      <c r="I19" s="175">
        <f>AVERAGE(I17:I18)</f>
        <v>0.95805000000000007</v>
      </c>
      <c r="J19" s="175">
        <f>AVERAGE(J17:J18)</f>
        <v>1.1912500000000001</v>
      </c>
      <c r="AA19" t="s">
        <v>23</v>
      </c>
      <c r="AB19"/>
      <c r="AC19"/>
      <c r="AD19"/>
      <c r="AE19">
        <v>450</v>
      </c>
      <c r="AF19" t="s">
        <v>24</v>
      </c>
      <c r="AG19"/>
    </row>
    <row r="20" spans="1:40" x14ac:dyDescent="0.2">
      <c r="A20" s="6"/>
      <c r="B20" s="6"/>
      <c r="C20" s="6" t="s">
        <v>16</v>
      </c>
      <c r="D20" s="184">
        <f>D19-$N$13</f>
        <v>-9.9999999999999742E-4</v>
      </c>
      <c r="E20" s="184">
        <f>E19-$N$13</f>
        <v>1.2057</v>
      </c>
      <c r="F20" s="184">
        <f>F19-$N$13</f>
        <v>1.31995</v>
      </c>
      <c r="G20" s="184">
        <f>G19-$N$13</f>
        <v>0.64855000000000007</v>
      </c>
      <c r="H20" s="184">
        <f>H19-$N$13</f>
        <v>0.75224999999999997</v>
      </c>
      <c r="I20" s="184">
        <f>I19-$N$13</f>
        <v>0.93570000000000009</v>
      </c>
      <c r="J20" s="184">
        <f>J19-$N$13</f>
        <v>1.1689000000000001</v>
      </c>
      <c r="L20" s="151"/>
      <c r="AA20" t="s">
        <v>25</v>
      </c>
      <c r="AB20"/>
      <c r="AC20"/>
      <c r="AD20"/>
      <c r="AE20">
        <v>10</v>
      </c>
      <c r="AF20" t="s">
        <v>24</v>
      </c>
      <c r="AG20"/>
    </row>
    <row r="21" spans="1:40" x14ac:dyDescent="0.2">
      <c r="A21" s="6"/>
      <c r="B21" s="6"/>
      <c r="C21" s="181" t="s">
        <v>505</v>
      </c>
      <c r="D21" s="184">
        <f>D19*$O$15*D16</f>
        <v>15.0101175</v>
      </c>
      <c r="E21" s="184">
        <f t="shared" ref="E21:J21" si="5">E19*$O$15*E16</f>
        <v>1726.761105</v>
      </c>
      <c r="F21" s="184">
        <f t="shared" si="5"/>
        <v>1887.4080300000001</v>
      </c>
      <c r="G21" s="184">
        <f t="shared" si="5"/>
        <v>2358.3812250000001</v>
      </c>
      <c r="H21" s="184">
        <f t="shared" si="5"/>
        <v>2722.9126499999993</v>
      </c>
      <c r="I21" s="184">
        <f t="shared" si="5"/>
        <v>3367.7852625000005</v>
      </c>
      <c r="J21" s="184">
        <f t="shared" si="5"/>
        <v>1675.0166250000002</v>
      </c>
      <c r="AA21" t="s">
        <v>26</v>
      </c>
      <c r="AB21"/>
      <c r="AC21"/>
      <c r="AD21"/>
      <c r="AE21">
        <v>570</v>
      </c>
      <c r="AF21" t="s">
        <v>24</v>
      </c>
      <c r="AG21"/>
    </row>
    <row r="22" spans="1:40" x14ac:dyDescent="0.2">
      <c r="A22" s="6"/>
      <c r="B22" s="6"/>
      <c r="C22" s="6" t="s">
        <v>469</v>
      </c>
      <c r="D22" s="184">
        <f>D21*1.1</f>
        <v>16.51112925</v>
      </c>
      <c r="E22" s="184">
        <f t="shared" ref="E22:J22" si="6">E21*1.1</f>
        <v>1899.4372155000001</v>
      </c>
      <c r="F22" s="184">
        <f t="shared" si="6"/>
        <v>2076.1488330000002</v>
      </c>
      <c r="G22" s="184">
        <f t="shared" si="6"/>
        <v>2594.2193475000004</v>
      </c>
      <c r="H22" s="184">
        <f t="shared" si="6"/>
        <v>2995.2039149999996</v>
      </c>
      <c r="I22" s="184">
        <f t="shared" si="6"/>
        <v>3704.5637887500006</v>
      </c>
      <c r="J22" s="184">
        <f t="shared" si="6"/>
        <v>1842.5182875000003</v>
      </c>
      <c r="AA22" t="s">
        <v>25</v>
      </c>
      <c r="AB22"/>
      <c r="AC22"/>
      <c r="AD22"/>
      <c r="AE22">
        <v>10</v>
      </c>
      <c r="AF22" t="s">
        <v>24</v>
      </c>
      <c r="AG22"/>
    </row>
    <row r="23" spans="1:40" x14ac:dyDescent="0.2">
      <c r="A23" s="3" t="s">
        <v>169</v>
      </c>
      <c r="B23" s="3" t="s">
        <v>507</v>
      </c>
      <c r="C23" s="6"/>
      <c r="D23" s="184"/>
      <c r="E23" s="184"/>
      <c r="F23" s="184"/>
      <c r="G23" s="184"/>
      <c r="H23" s="184"/>
      <c r="I23" s="184"/>
      <c r="J23" s="184"/>
      <c r="AA23" t="s">
        <v>28</v>
      </c>
      <c r="AB23"/>
      <c r="AC23"/>
      <c r="AD23"/>
      <c r="AE23">
        <v>25</v>
      </c>
      <c r="AF23"/>
      <c r="AG23"/>
    </row>
    <row r="24" spans="1:40" x14ac:dyDescent="0.2">
      <c r="A24" s="3" t="s">
        <v>170</v>
      </c>
      <c r="B24" s="3" t="s">
        <v>506</v>
      </c>
      <c r="D24" s="187" t="s">
        <v>462</v>
      </c>
      <c r="E24" s="187"/>
      <c r="F24" s="187"/>
      <c r="G24" s="187"/>
      <c r="H24" s="187"/>
      <c r="I24" s="187"/>
      <c r="J24" s="187"/>
      <c r="AA24" t="s">
        <v>30</v>
      </c>
      <c r="AB24"/>
      <c r="AC24"/>
      <c r="AD24"/>
      <c r="AE24">
        <v>0</v>
      </c>
      <c r="AF24" t="s">
        <v>31</v>
      </c>
      <c r="AG24"/>
    </row>
    <row r="25" spans="1:40" x14ac:dyDescent="0.2">
      <c r="A25" s="6"/>
      <c r="B25" s="6"/>
      <c r="C25" s="97" t="s">
        <v>451</v>
      </c>
      <c r="D25" s="184">
        <v>1</v>
      </c>
      <c r="E25" s="184">
        <v>2</v>
      </c>
      <c r="F25" s="184">
        <v>2</v>
      </c>
      <c r="G25" s="184">
        <v>2</v>
      </c>
      <c r="H25" s="184">
        <v>5</v>
      </c>
      <c r="I25" s="184">
        <v>5</v>
      </c>
      <c r="J25" s="184">
        <v>2</v>
      </c>
      <c r="AA25" t="s">
        <v>32</v>
      </c>
      <c r="AB25" s="95">
        <v>43938.743506944447</v>
      </c>
      <c r="AC25"/>
      <c r="AD25"/>
      <c r="AE25"/>
      <c r="AF25"/>
      <c r="AG25"/>
    </row>
    <row r="26" spans="1:40" x14ac:dyDescent="0.2">
      <c r="A26" s="6"/>
      <c r="B26" s="6"/>
      <c r="C26" s="3" t="s">
        <v>27</v>
      </c>
      <c r="D26" s="96">
        <v>2.1299999999999999E-2</v>
      </c>
      <c r="E26" s="96">
        <v>0.19189999999999999</v>
      </c>
      <c r="F26" s="96">
        <v>0.1789</v>
      </c>
      <c r="G26" s="96">
        <v>7.3599999999999999E-2</v>
      </c>
      <c r="H26" s="96">
        <v>8.5199999999999998E-2</v>
      </c>
      <c r="I26" s="96">
        <v>9.9000000000000005E-2</v>
      </c>
      <c r="J26" s="96">
        <v>0.2223</v>
      </c>
      <c r="AA26"/>
      <c r="AB26"/>
      <c r="AC26"/>
      <c r="AD26"/>
      <c r="AE26"/>
      <c r="AF26"/>
      <c r="AG26"/>
    </row>
    <row r="27" spans="1:40" x14ac:dyDescent="0.2">
      <c r="A27" s="6"/>
      <c r="B27" s="6"/>
      <c r="C27" s="3" t="s">
        <v>29</v>
      </c>
      <c r="D27" s="96">
        <v>2.3099999999999999E-2</v>
      </c>
      <c r="E27" s="96">
        <v>0.15379999999999999</v>
      </c>
      <c r="F27" s="96">
        <v>0.1552</v>
      </c>
      <c r="G27" s="96">
        <v>6.6500000000000004E-2</v>
      </c>
      <c r="H27" s="96">
        <v>6.93E-2</v>
      </c>
      <c r="I27" s="96">
        <v>6.88E-2</v>
      </c>
      <c r="J27" s="96">
        <v>0.1678</v>
      </c>
      <c r="AA27"/>
      <c r="AB27" t="s">
        <v>473</v>
      </c>
      <c r="AC27"/>
      <c r="AD27"/>
      <c r="AE27"/>
      <c r="AF27"/>
      <c r="AG27"/>
    </row>
    <row r="28" spans="1:40" ht="20" x14ac:dyDescent="0.25">
      <c r="A28" s="6"/>
      <c r="B28" s="6"/>
      <c r="C28" s="6" t="s">
        <v>12</v>
      </c>
      <c r="D28" s="175">
        <f>AVERAGE(D26:D27)</f>
        <v>2.2199999999999998E-2</v>
      </c>
      <c r="E28" s="175">
        <f t="shared" ref="E28:J28" si="7">AVERAGE(E26:E27)</f>
        <v>0.17285</v>
      </c>
      <c r="F28" s="175">
        <f t="shared" si="7"/>
        <v>0.16705</v>
      </c>
      <c r="G28" s="175">
        <f t="shared" si="7"/>
        <v>7.0050000000000001E-2</v>
      </c>
      <c r="H28" s="175">
        <f t="shared" si="7"/>
        <v>7.7249999999999999E-2</v>
      </c>
      <c r="I28" s="175">
        <f t="shared" si="7"/>
        <v>8.3900000000000002E-2</v>
      </c>
      <c r="J28" s="175">
        <f t="shared" si="7"/>
        <v>0.19505</v>
      </c>
      <c r="AA28" t="s">
        <v>35</v>
      </c>
      <c r="AB28"/>
      <c r="AC28"/>
      <c r="AD28"/>
      <c r="AE28"/>
      <c r="AF28"/>
      <c r="AG28"/>
    </row>
    <row r="29" spans="1:40" x14ac:dyDescent="0.2">
      <c r="A29" s="6"/>
      <c r="B29" s="6"/>
      <c r="C29" s="6" t="s">
        <v>16</v>
      </c>
      <c r="D29" s="184">
        <f t="shared" ref="D29:J29" si="8">D28-$N$13</f>
        <v>-1.5000000000000083E-4</v>
      </c>
      <c r="E29" s="184">
        <f t="shared" si="8"/>
        <v>0.15049999999999999</v>
      </c>
      <c r="F29" s="184">
        <f t="shared" si="8"/>
        <v>0.1447</v>
      </c>
      <c r="G29" s="184">
        <f t="shared" si="8"/>
        <v>4.7700000000000006E-2</v>
      </c>
      <c r="H29" s="184">
        <f t="shared" si="8"/>
        <v>5.4900000000000004E-2</v>
      </c>
      <c r="I29" s="184">
        <f t="shared" si="8"/>
        <v>6.1550000000000007E-2</v>
      </c>
      <c r="J29" s="184">
        <f t="shared" si="8"/>
        <v>0.17269999999999999</v>
      </c>
      <c r="AA29" t="s">
        <v>37</v>
      </c>
      <c r="AB29">
        <v>1</v>
      </c>
      <c r="AC29">
        <v>2</v>
      </c>
      <c r="AD29">
        <v>3</v>
      </c>
      <c r="AE29">
        <v>4</v>
      </c>
      <c r="AF29">
        <v>5</v>
      </c>
      <c r="AG29">
        <v>6</v>
      </c>
      <c r="AH29">
        <v>7</v>
      </c>
      <c r="AI29">
        <v>8</v>
      </c>
      <c r="AJ29">
        <v>9</v>
      </c>
      <c r="AK29">
        <v>10</v>
      </c>
      <c r="AL29">
        <v>11</v>
      </c>
      <c r="AM29">
        <v>12</v>
      </c>
    </row>
    <row r="30" spans="1:40" x14ac:dyDescent="0.2">
      <c r="A30" s="6"/>
      <c r="B30" s="6"/>
      <c r="C30" s="181" t="s">
        <v>505</v>
      </c>
      <c r="D30" s="184">
        <f>D28*$O$15*D25</f>
        <v>15.607709999999997</v>
      </c>
      <c r="E30" s="184">
        <f t="shared" ref="E30:J30" si="9">E28*$O$15*E25</f>
        <v>243.04438499999998</v>
      </c>
      <c r="F30" s="184">
        <f t="shared" si="9"/>
        <v>234.889005</v>
      </c>
      <c r="G30" s="184">
        <f t="shared" si="9"/>
        <v>98.497304999999997</v>
      </c>
      <c r="H30" s="184">
        <f t="shared" si="9"/>
        <v>271.55306250000001</v>
      </c>
      <c r="I30" s="184">
        <f t="shared" si="9"/>
        <v>294.92947500000002</v>
      </c>
      <c r="J30" s="184">
        <f t="shared" si="9"/>
        <v>274.25980499999997</v>
      </c>
      <c r="AA30" t="s">
        <v>39</v>
      </c>
      <c r="AB30">
        <v>6.0699999999999997E-2</v>
      </c>
      <c r="AC30">
        <v>1.4767999999999999</v>
      </c>
      <c r="AD30">
        <v>1.3452</v>
      </c>
      <c r="AE30">
        <v>0.71740000000000004</v>
      </c>
      <c r="AF30">
        <v>0.81089999999999995</v>
      </c>
      <c r="AG30">
        <v>1.0721000000000001</v>
      </c>
      <c r="AH30">
        <v>1.3381000000000001</v>
      </c>
      <c r="AI30">
        <v>1.4842</v>
      </c>
      <c r="AJ30">
        <v>1.5799000000000001</v>
      </c>
      <c r="AK30">
        <v>5.1999999999999998E-2</v>
      </c>
      <c r="AL30">
        <v>5.11E-2</v>
      </c>
      <c r="AM30">
        <v>5.0500000000000003E-2</v>
      </c>
    </row>
    <row r="31" spans="1:40" x14ac:dyDescent="0.2">
      <c r="A31" s="6"/>
      <c r="B31" s="6"/>
      <c r="C31" s="96" t="s">
        <v>461</v>
      </c>
      <c r="D31" s="184">
        <f>D30*1.1</f>
        <v>17.168481</v>
      </c>
      <c r="E31" s="184">
        <f t="shared" ref="E31:J31" si="10">E30*1.1</f>
        <v>267.34882349999998</v>
      </c>
      <c r="F31" s="184">
        <f t="shared" si="10"/>
        <v>258.3779055</v>
      </c>
      <c r="G31" s="184">
        <f t="shared" si="10"/>
        <v>108.3470355</v>
      </c>
      <c r="H31" s="184">
        <f t="shared" si="10"/>
        <v>298.70836875000003</v>
      </c>
      <c r="I31" s="184">
        <f t="shared" si="10"/>
        <v>324.42242250000004</v>
      </c>
      <c r="J31" s="184">
        <f t="shared" si="10"/>
        <v>301.68578550000001</v>
      </c>
      <c r="AA31" t="s">
        <v>40</v>
      </c>
      <c r="AB31">
        <v>6.0699999999999997E-2</v>
      </c>
      <c r="AC31">
        <v>1.0649999999999999</v>
      </c>
      <c r="AD31">
        <v>1.4240999999999999</v>
      </c>
      <c r="AE31">
        <v>0.70720000000000005</v>
      </c>
      <c r="AF31">
        <v>0.82740000000000002</v>
      </c>
      <c r="AG31">
        <v>0.9274</v>
      </c>
      <c r="AH31">
        <v>1.1345000000000001</v>
      </c>
      <c r="AI31">
        <v>0.69510000000000005</v>
      </c>
      <c r="AJ31">
        <v>0.71550000000000002</v>
      </c>
      <c r="AK31">
        <v>5.1200000000000002E-2</v>
      </c>
      <c r="AL31">
        <v>5.4100000000000002E-2</v>
      </c>
      <c r="AM31">
        <v>5.0799999999999998E-2</v>
      </c>
    </row>
    <row r="32" spans="1:40" x14ac:dyDescent="0.2">
      <c r="A32" s="6"/>
      <c r="B32" s="6"/>
      <c r="C32" s="6"/>
      <c r="D32" s="184"/>
      <c r="E32" s="184"/>
      <c r="F32" s="184"/>
      <c r="G32" s="184"/>
      <c r="H32" s="184"/>
      <c r="I32" s="184"/>
      <c r="J32" s="184"/>
      <c r="AA32" t="s">
        <v>41</v>
      </c>
      <c r="AB32">
        <v>6.0699999999999997E-2</v>
      </c>
      <c r="AC32">
        <v>1.4289000000000001</v>
      </c>
      <c r="AD32">
        <v>1.2895000000000001</v>
      </c>
      <c r="AE32">
        <v>0.72119999999999995</v>
      </c>
      <c r="AF32">
        <v>0.76600000000000001</v>
      </c>
      <c r="AG32">
        <v>0.91090000000000004</v>
      </c>
      <c r="AH32">
        <v>1.1757</v>
      </c>
      <c r="AI32">
        <v>0.37340000000000001</v>
      </c>
      <c r="AJ32">
        <v>0.40329999999999999</v>
      </c>
      <c r="AK32">
        <v>5.3800000000000001E-2</v>
      </c>
      <c r="AL32">
        <v>5.28E-2</v>
      </c>
      <c r="AM32">
        <v>5.1499999999999997E-2</v>
      </c>
    </row>
    <row r="33" spans="1:39" x14ac:dyDescent="0.2">
      <c r="A33" s="6"/>
      <c r="B33" s="6"/>
      <c r="D33" s="187" t="s">
        <v>463</v>
      </c>
      <c r="E33" s="187"/>
      <c r="F33" s="187"/>
      <c r="G33" s="187"/>
      <c r="H33" s="187"/>
      <c r="I33" s="187"/>
      <c r="J33" s="187"/>
      <c r="AA33" t="s">
        <v>42</v>
      </c>
      <c r="AB33">
        <v>6.08E-2</v>
      </c>
      <c r="AC33">
        <v>1.117</v>
      </c>
      <c r="AD33">
        <v>1.1309</v>
      </c>
      <c r="AE33">
        <v>0.61109999999999998</v>
      </c>
      <c r="AF33">
        <v>0.67120000000000002</v>
      </c>
      <c r="AG33">
        <v>0.85870000000000002</v>
      </c>
      <c r="AH33">
        <v>1.1504000000000001</v>
      </c>
      <c r="AI33">
        <v>0.19370000000000001</v>
      </c>
      <c r="AJ33">
        <v>0.20930000000000001</v>
      </c>
      <c r="AK33">
        <v>5.2499999999999998E-2</v>
      </c>
      <c r="AL33">
        <v>5.1900000000000002E-2</v>
      </c>
      <c r="AM33">
        <v>5.1799999999999999E-2</v>
      </c>
    </row>
    <row r="34" spans="1:39" x14ac:dyDescent="0.2">
      <c r="A34" s="6"/>
      <c r="B34" s="6"/>
      <c r="C34" s="97" t="s">
        <v>451</v>
      </c>
      <c r="D34" s="184">
        <v>1</v>
      </c>
      <c r="E34" s="184">
        <v>2</v>
      </c>
      <c r="F34" s="184">
        <v>2</v>
      </c>
      <c r="G34" s="184">
        <v>5</v>
      </c>
      <c r="H34" s="184">
        <v>5</v>
      </c>
      <c r="I34" s="184">
        <v>5</v>
      </c>
      <c r="J34" s="184">
        <v>2</v>
      </c>
      <c r="AA34" t="s">
        <v>43</v>
      </c>
      <c r="AB34">
        <v>6.1600000000000002E-2</v>
      </c>
      <c r="AC34">
        <v>0.28520000000000001</v>
      </c>
      <c r="AD34">
        <v>0.28839999999999999</v>
      </c>
      <c r="AE34">
        <v>0.14050000000000001</v>
      </c>
      <c r="AF34">
        <v>0.15229999999999999</v>
      </c>
      <c r="AG34">
        <v>0.16289999999999999</v>
      </c>
      <c r="AH34">
        <v>0.35539999999999999</v>
      </c>
      <c r="AI34">
        <v>0.12920000000000001</v>
      </c>
      <c r="AJ34">
        <v>0.12180000000000001</v>
      </c>
      <c r="AK34">
        <v>5.1200000000000002E-2</v>
      </c>
      <c r="AL34">
        <v>5.4699999999999999E-2</v>
      </c>
      <c r="AM34">
        <v>5.1900000000000002E-2</v>
      </c>
    </row>
    <row r="35" spans="1:39" x14ac:dyDescent="0.2">
      <c r="A35" s="6"/>
      <c r="B35" s="6"/>
      <c r="C35" s="3" t="s">
        <v>36</v>
      </c>
      <c r="D35" s="96">
        <v>2.1999999999999999E-2</v>
      </c>
      <c r="E35" s="96">
        <v>1.3843000000000001</v>
      </c>
      <c r="F35" s="96">
        <v>1.2401</v>
      </c>
      <c r="G35" s="96">
        <v>0.6774</v>
      </c>
      <c r="H35" s="96">
        <v>0.72499999999999998</v>
      </c>
      <c r="I35" s="96">
        <v>0.87009999999999998</v>
      </c>
      <c r="J35" s="96">
        <v>1.1341000000000001</v>
      </c>
      <c r="AA35" t="s">
        <v>44</v>
      </c>
      <c r="AB35">
        <v>6.1199999999999997E-2</v>
      </c>
      <c r="AC35">
        <v>0.26500000000000001</v>
      </c>
      <c r="AD35">
        <v>0.29830000000000001</v>
      </c>
      <c r="AE35">
        <v>0.13189999999999999</v>
      </c>
      <c r="AF35">
        <v>0.14330000000000001</v>
      </c>
      <c r="AG35">
        <v>0.16439999999999999</v>
      </c>
      <c r="AH35">
        <v>0.3251</v>
      </c>
      <c r="AI35">
        <v>8.8499999999999995E-2</v>
      </c>
      <c r="AJ35">
        <v>9.2899999999999996E-2</v>
      </c>
      <c r="AK35">
        <v>5.96E-2</v>
      </c>
      <c r="AL35">
        <v>5.4100000000000002E-2</v>
      </c>
      <c r="AM35">
        <v>5.4800000000000001E-2</v>
      </c>
    </row>
    <row r="36" spans="1:39" x14ac:dyDescent="0.2">
      <c r="A36" s="6"/>
      <c r="B36" s="6"/>
      <c r="C36" s="3" t="s">
        <v>38</v>
      </c>
      <c r="D36" s="96">
        <v>2.0899999999999998E-2</v>
      </c>
      <c r="E36" s="96">
        <v>1.075</v>
      </c>
      <c r="F36" s="96">
        <v>1.0869</v>
      </c>
      <c r="G36" s="96">
        <v>0.56699999999999995</v>
      </c>
      <c r="H36" s="96">
        <v>0.63039999999999996</v>
      </c>
      <c r="I36" s="96">
        <v>0.81710000000000005</v>
      </c>
      <c r="J36" s="96">
        <v>1.1073999999999999</v>
      </c>
      <c r="AA36" t="s">
        <v>45</v>
      </c>
      <c r="AB36">
        <v>6.1400000000000003E-2</v>
      </c>
      <c r="AC36">
        <v>0.23139999999999999</v>
      </c>
      <c r="AD36">
        <v>0.22059999999999999</v>
      </c>
      <c r="AE36">
        <v>0.11360000000000001</v>
      </c>
      <c r="AF36">
        <v>0.1245</v>
      </c>
      <c r="AG36">
        <v>0.13780000000000001</v>
      </c>
      <c r="AH36">
        <v>0.26250000000000001</v>
      </c>
      <c r="AI36">
        <v>7.7100000000000002E-2</v>
      </c>
      <c r="AJ36">
        <v>7.5800000000000006E-2</v>
      </c>
      <c r="AK36">
        <v>6.0400000000000002E-2</v>
      </c>
      <c r="AL36">
        <v>5.21E-2</v>
      </c>
      <c r="AM36">
        <v>5.3999999999999999E-2</v>
      </c>
    </row>
    <row r="37" spans="1:39" ht="20" x14ac:dyDescent="0.25">
      <c r="A37" s="6" t="s">
        <v>166</v>
      </c>
      <c r="B37" s="6"/>
      <c r="C37" s="6" t="s">
        <v>12</v>
      </c>
      <c r="D37" s="175">
        <f>AVERAGE(D35:D36)</f>
        <v>2.1449999999999997E-2</v>
      </c>
      <c r="E37" s="175">
        <f t="shared" ref="E37:J37" si="11">AVERAGE(E35:E36)</f>
        <v>1.2296499999999999</v>
      </c>
      <c r="F37" s="175">
        <f t="shared" si="11"/>
        <v>1.1635</v>
      </c>
      <c r="G37" s="175">
        <f t="shared" si="11"/>
        <v>0.62219999999999998</v>
      </c>
      <c r="H37" s="175">
        <f t="shared" si="11"/>
        <v>0.67769999999999997</v>
      </c>
      <c r="I37" s="175">
        <f t="shared" si="11"/>
        <v>0.84360000000000002</v>
      </c>
      <c r="J37" s="175">
        <f t="shared" si="11"/>
        <v>1.1207500000000001</v>
      </c>
      <c r="AA37" t="s">
        <v>46</v>
      </c>
      <c r="AB37">
        <v>6.4299999999999996E-2</v>
      </c>
      <c r="AC37">
        <v>0.1966</v>
      </c>
      <c r="AD37">
        <v>0.20349999999999999</v>
      </c>
      <c r="AE37">
        <v>0.109</v>
      </c>
      <c r="AF37">
        <v>0.1109</v>
      </c>
      <c r="AG37">
        <v>0.11360000000000001</v>
      </c>
      <c r="AH37">
        <v>0.2107</v>
      </c>
      <c r="AI37">
        <v>6.7599999999999993E-2</v>
      </c>
      <c r="AJ37">
        <v>6.3399999999999998E-2</v>
      </c>
      <c r="AK37">
        <v>5.5500000000000001E-2</v>
      </c>
      <c r="AL37">
        <v>5.21E-2</v>
      </c>
      <c r="AM37">
        <v>5.0900000000000001E-2</v>
      </c>
    </row>
    <row r="38" spans="1:39" x14ac:dyDescent="0.2">
      <c r="A38" s="6"/>
      <c r="B38" s="6"/>
      <c r="C38" s="6" t="s">
        <v>16</v>
      </c>
      <c r="D38" s="184">
        <f t="shared" ref="D38:J38" si="12">D37-$N$13</f>
        <v>-9.0000000000000149E-4</v>
      </c>
      <c r="E38" s="184">
        <f t="shared" si="12"/>
        <v>1.2072999999999998</v>
      </c>
      <c r="F38" s="184">
        <f t="shared" si="12"/>
        <v>1.1411499999999999</v>
      </c>
      <c r="G38" s="184">
        <f t="shared" si="12"/>
        <v>0.59984999999999999</v>
      </c>
      <c r="H38" s="184">
        <f t="shared" si="12"/>
        <v>0.65534999999999999</v>
      </c>
      <c r="I38" s="184">
        <f t="shared" si="12"/>
        <v>0.82125000000000004</v>
      </c>
      <c r="J38" s="184">
        <f t="shared" si="12"/>
        <v>1.0984</v>
      </c>
      <c r="AA38"/>
      <c r="AB38"/>
      <c r="AC38"/>
      <c r="AD38"/>
      <c r="AE38"/>
      <c r="AF38"/>
      <c r="AG38"/>
    </row>
    <row r="39" spans="1:39" x14ac:dyDescent="0.2">
      <c r="A39" t="s">
        <v>155</v>
      </c>
      <c r="C39" s="181" t="s">
        <v>505</v>
      </c>
      <c r="D39" s="184">
        <f>D37*$O$15*D34</f>
        <v>15.080422499999997</v>
      </c>
      <c r="E39" s="184">
        <f t="shared" ref="E39:J39" si="13">E37*$O$15*E34</f>
        <v>1729.0108649999997</v>
      </c>
      <c r="F39" s="184">
        <f t="shared" si="13"/>
        <v>1635.9973499999999</v>
      </c>
      <c r="G39" s="184">
        <f t="shared" si="13"/>
        <v>2187.1885499999999</v>
      </c>
      <c r="H39" s="184">
        <f t="shared" si="13"/>
        <v>2382.2849249999999</v>
      </c>
      <c r="I39" s="184">
        <f t="shared" si="13"/>
        <v>2965.4648999999999</v>
      </c>
      <c r="J39" s="184">
        <f t="shared" si="13"/>
        <v>1575.886575</v>
      </c>
      <c r="AA39" t="s">
        <v>47</v>
      </c>
      <c r="AB39"/>
      <c r="AC39"/>
      <c r="AD39"/>
      <c r="AE39"/>
      <c r="AF39"/>
      <c r="AG39"/>
    </row>
    <row r="40" spans="1:39" x14ac:dyDescent="0.2">
      <c r="C40" s="96" t="s">
        <v>461</v>
      </c>
      <c r="D40" s="184">
        <f>D39*1.1</f>
        <v>16.58846475</v>
      </c>
      <c r="E40" s="184">
        <f t="shared" ref="E40:J40" si="14">E39*1.1</f>
        <v>1901.9119514999998</v>
      </c>
      <c r="F40" s="184">
        <f t="shared" si="14"/>
        <v>1799.5970850000001</v>
      </c>
      <c r="G40" s="184">
        <f t="shared" si="14"/>
        <v>2405.9074049999999</v>
      </c>
      <c r="H40" s="184">
        <f t="shared" si="14"/>
        <v>2620.5134175000003</v>
      </c>
      <c r="I40" s="184">
        <f t="shared" si="14"/>
        <v>3262.0113900000001</v>
      </c>
      <c r="J40" s="184">
        <f t="shared" si="14"/>
        <v>1733.4752325000002</v>
      </c>
      <c r="AA40" t="s">
        <v>37</v>
      </c>
      <c r="AB40">
        <v>1</v>
      </c>
      <c r="AC40">
        <v>2</v>
      </c>
      <c r="AD40">
        <v>3</v>
      </c>
      <c r="AE40">
        <v>4</v>
      </c>
      <c r="AF40">
        <v>5</v>
      </c>
      <c r="AG40">
        <v>6</v>
      </c>
      <c r="AH40">
        <v>7</v>
      </c>
      <c r="AI40">
        <v>8</v>
      </c>
      <c r="AJ40">
        <v>9</v>
      </c>
      <c r="AK40">
        <v>10</v>
      </c>
      <c r="AL40">
        <v>11</v>
      </c>
      <c r="AM40">
        <v>12</v>
      </c>
    </row>
    <row r="41" spans="1:39" x14ac:dyDescent="0.2">
      <c r="D41" s="184"/>
      <c r="E41" s="184"/>
      <c r="F41" s="184"/>
      <c r="G41" s="184"/>
      <c r="H41" s="184"/>
      <c r="I41" s="184"/>
      <c r="J41" s="184"/>
      <c r="AA41" t="s">
        <v>39</v>
      </c>
      <c r="AB41">
        <v>3.9399999999999998E-2</v>
      </c>
      <c r="AC41">
        <v>4.36E-2</v>
      </c>
      <c r="AD41">
        <v>4.2900000000000001E-2</v>
      </c>
      <c r="AE41">
        <v>4.2900000000000001E-2</v>
      </c>
      <c r="AF41">
        <v>4.1399999999999999E-2</v>
      </c>
      <c r="AG41">
        <v>4.2599999999999999E-2</v>
      </c>
      <c r="AH41">
        <v>4.4699999999999997E-2</v>
      </c>
      <c r="AI41">
        <v>4.3299999999999998E-2</v>
      </c>
      <c r="AJ41">
        <v>4.58E-2</v>
      </c>
      <c r="AK41">
        <v>4.8599999999999997E-2</v>
      </c>
      <c r="AL41">
        <v>4.8399999999999999E-2</v>
      </c>
      <c r="AM41">
        <v>4.7199999999999999E-2</v>
      </c>
    </row>
    <row r="42" spans="1:39" x14ac:dyDescent="0.2">
      <c r="D42" s="184"/>
      <c r="E42" s="184"/>
      <c r="F42" s="184"/>
      <c r="G42" s="184"/>
      <c r="H42" s="184"/>
      <c r="I42" s="184"/>
      <c r="J42" s="184"/>
      <c r="AA42" t="s">
        <v>40</v>
      </c>
      <c r="AB42">
        <v>3.9199999999999999E-2</v>
      </c>
      <c r="AC42">
        <v>4.2099999999999999E-2</v>
      </c>
      <c r="AD42">
        <v>4.1799999999999997E-2</v>
      </c>
      <c r="AE42">
        <v>0.04</v>
      </c>
      <c r="AF42">
        <v>4.7699999999999999E-2</v>
      </c>
      <c r="AG42">
        <v>4.0800000000000003E-2</v>
      </c>
      <c r="AH42">
        <v>4.5499999999999999E-2</v>
      </c>
      <c r="AI42">
        <v>4.5100000000000001E-2</v>
      </c>
      <c r="AJ42">
        <v>4.02E-2</v>
      </c>
      <c r="AK42">
        <v>4.7699999999999999E-2</v>
      </c>
      <c r="AL42">
        <v>5.0799999999999998E-2</v>
      </c>
      <c r="AM42">
        <v>4.7699999999999999E-2</v>
      </c>
    </row>
    <row r="43" spans="1:39" x14ac:dyDescent="0.2">
      <c r="A43" t="s">
        <v>468</v>
      </c>
      <c r="C43" t="s">
        <v>9</v>
      </c>
      <c r="D43" s="184">
        <f>D13</f>
        <v>16.047116249999998</v>
      </c>
      <c r="E43" s="184">
        <f t="shared" ref="E43:J43" si="15">E13</f>
        <v>363.70885650000002</v>
      </c>
      <c r="F43" s="184">
        <f t="shared" si="15"/>
        <v>390.93095249999999</v>
      </c>
      <c r="G43" s="184">
        <f t="shared" si="15"/>
        <v>146.86011450000001</v>
      </c>
      <c r="H43" s="184">
        <f t="shared" si="15"/>
        <v>408.52477875</v>
      </c>
      <c r="I43" s="184">
        <f t="shared" si="15"/>
        <v>476.58001875000002</v>
      </c>
      <c r="J43" s="184">
        <f t="shared" si="15"/>
        <v>230.26645124999999</v>
      </c>
      <c r="AA43" t="s">
        <v>41</v>
      </c>
      <c r="AB43">
        <v>3.8800000000000001E-2</v>
      </c>
      <c r="AC43">
        <v>4.4600000000000001E-2</v>
      </c>
      <c r="AD43">
        <v>4.9399999999999999E-2</v>
      </c>
      <c r="AE43">
        <v>4.3700000000000003E-2</v>
      </c>
      <c r="AF43">
        <v>4.1000000000000002E-2</v>
      </c>
      <c r="AG43">
        <v>4.0899999999999999E-2</v>
      </c>
      <c r="AH43">
        <v>4.1599999999999998E-2</v>
      </c>
      <c r="AI43">
        <v>3.9600000000000003E-2</v>
      </c>
      <c r="AJ43">
        <v>3.9300000000000002E-2</v>
      </c>
      <c r="AK43">
        <v>5.0299999999999997E-2</v>
      </c>
      <c r="AL43">
        <v>4.9599999999999998E-2</v>
      </c>
      <c r="AM43">
        <v>4.8300000000000003E-2</v>
      </c>
    </row>
    <row r="44" spans="1:39" x14ac:dyDescent="0.2">
      <c r="D44" s="184">
        <f>D31</f>
        <v>17.168481</v>
      </c>
      <c r="E44" s="184">
        <f t="shared" ref="E44:J44" si="16">E31</f>
        <v>267.34882349999998</v>
      </c>
      <c r="F44" s="184">
        <f t="shared" si="16"/>
        <v>258.3779055</v>
      </c>
      <c r="G44" s="184">
        <f t="shared" si="16"/>
        <v>108.3470355</v>
      </c>
      <c r="H44" s="184">
        <f t="shared" si="16"/>
        <v>298.70836875000003</v>
      </c>
      <c r="I44" s="184">
        <f t="shared" si="16"/>
        <v>324.42242250000004</v>
      </c>
      <c r="J44" s="184">
        <f t="shared" si="16"/>
        <v>301.68578550000001</v>
      </c>
      <c r="AA44" t="s">
        <v>42</v>
      </c>
      <c r="AB44">
        <v>3.9899999999999998E-2</v>
      </c>
      <c r="AC44">
        <v>4.2000000000000003E-2</v>
      </c>
      <c r="AD44">
        <v>4.3999999999999997E-2</v>
      </c>
      <c r="AE44">
        <v>4.4200000000000003E-2</v>
      </c>
      <c r="AF44">
        <v>4.07E-2</v>
      </c>
      <c r="AG44">
        <v>4.1599999999999998E-2</v>
      </c>
      <c r="AH44">
        <v>4.2999999999999997E-2</v>
      </c>
      <c r="AI44">
        <v>4.2099999999999999E-2</v>
      </c>
      <c r="AJ44">
        <v>4.0300000000000002E-2</v>
      </c>
      <c r="AK44">
        <v>4.9299999999999997E-2</v>
      </c>
      <c r="AL44">
        <v>4.8599999999999997E-2</v>
      </c>
      <c r="AM44">
        <v>4.8899999999999999E-2</v>
      </c>
    </row>
    <row r="45" spans="1:39" x14ac:dyDescent="0.2">
      <c r="C45" t="s">
        <v>8</v>
      </c>
      <c r="D45" s="184">
        <f>D22</f>
        <v>16.51112925</v>
      </c>
      <c r="E45" s="184">
        <f t="shared" ref="E45:J45" si="17">E22</f>
        <v>1899.4372155000001</v>
      </c>
      <c r="F45" s="184">
        <f t="shared" si="17"/>
        <v>2076.1488330000002</v>
      </c>
      <c r="G45" s="184">
        <f t="shared" si="17"/>
        <v>2594.2193475000004</v>
      </c>
      <c r="H45" s="184">
        <f t="shared" si="17"/>
        <v>2995.2039149999996</v>
      </c>
      <c r="I45" s="184">
        <f t="shared" si="17"/>
        <v>3704.5637887500006</v>
      </c>
      <c r="J45" s="184">
        <f t="shared" si="17"/>
        <v>1842.5182875000003</v>
      </c>
      <c r="AA45" t="s">
        <v>43</v>
      </c>
      <c r="AB45">
        <v>4.0800000000000003E-2</v>
      </c>
      <c r="AC45">
        <v>3.9699999999999999E-2</v>
      </c>
      <c r="AD45">
        <v>4.2099999999999999E-2</v>
      </c>
      <c r="AE45">
        <v>4.3299999999999998E-2</v>
      </c>
      <c r="AF45">
        <v>4.2799999999999998E-2</v>
      </c>
      <c r="AG45">
        <v>4.1599999999999998E-2</v>
      </c>
      <c r="AH45">
        <v>4.19E-2</v>
      </c>
      <c r="AI45">
        <v>4.1599999999999998E-2</v>
      </c>
      <c r="AJ45">
        <v>3.8600000000000002E-2</v>
      </c>
      <c r="AK45">
        <v>4.82E-2</v>
      </c>
      <c r="AL45">
        <v>5.1200000000000002E-2</v>
      </c>
      <c r="AM45">
        <v>4.9000000000000002E-2</v>
      </c>
    </row>
    <row r="46" spans="1:39" x14ac:dyDescent="0.2">
      <c r="D46" s="184">
        <f>D40</f>
        <v>16.58846475</v>
      </c>
      <c r="E46" s="184">
        <f t="shared" ref="E46:J46" si="18">E40</f>
        <v>1901.9119514999998</v>
      </c>
      <c r="F46" s="184">
        <f t="shared" si="18"/>
        <v>1799.5970850000001</v>
      </c>
      <c r="G46" s="184">
        <f t="shared" si="18"/>
        <v>2405.9074049999999</v>
      </c>
      <c r="H46" s="184">
        <f t="shared" si="18"/>
        <v>2620.5134175000003</v>
      </c>
      <c r="I46" s="184">
        <f t="shared" si="18"/>
        <v>3262.0113900000001</v>
      </c>
      <c r="J46" s="184">
        <f t="shared" si="18"/>
        <v>1733.4752325000002</v>
      </c>
      <c r="AA46" t="s">
        <v>44</v>
      </c>
      <c r="AB46">
        <v>4.0599999999999997E-2</v>
      </c>
      <c r="AC46">
        <v>4.02E-2</v>
      </c>
      <c r="AD46">
        <v>3.9100000000000003E-2</v>
      </c>
      <c r="AE46">
        <v>3.9199999999999999E-2</v>
      </c>
      <c r="AF46">
        <v>4.1500000000000002E-2</v>
      </c>
      <c r="AG46">
        <v>3.9199999999999999E-2</v>
      </c>
      <c r="AH46">
        <v>4.3099999999999999E-2</v>
      </c>
      <c r="AI46">
        <v>3.95E-2</v>
      </c>
      <c r="AJ46">
        <v>4.0800000000000003E-2</v>
      </c>
      <c r="AK46">
        <v>5.5399999999999998E-2</v>
      </c>
      <c r="AL46">
        <v>5.0200000000000002E-2</v>
      </c>
      <c r="AM46">
        <v>5.1900000000000002E-2</v>
      </c>
    </row>
    <row r="47" spans="1:39" x14ac:dyDescent="0.2">
      <c r="D47" s="184"/>
      <c r="E47" s="184"/>
      <c r="F47" s="184"/>
      <c r="G47" s="184"/>
      <c r="H47" s="184"/>
      <c r="I47" s="184"/>
      <c r="J47" s="184"/>
      <c r="AA47" t="s">
        <v>45</v>
      </c>
      <c r="AB47">
        <v>0.04</v>
      </c>
      <c r="AC47">
        <v>3.95E-2</v>
      </c>
      <c r="AD47">
        <v>4.1700000000000001E-2</v>
      </c>
      <c r="AE47">
        <v>0.04</v>
      </c>
      <c r="AF47">
        <v>3.9300000000000002E-2</v>
      </c>
      <c r="AG47">
        <v>3.8699999999999998E-2</v>
      </c>
      <c r="AH47">
        <v>4.02E-2</v>
      </c>
      <c r="AI47">
        <v>4.1399999999999999E-2</v>
      </c>
      <c r="AJ47">
        <v>3.9399999999999998E-2</v>
      </c>
      <c r="AK47">
        <v>5.6899999999999999E-2</v>
      </c>
      <c r="AL47">
        <v>4.8599999999999997E-2</v>
      </c>
      <c r="AM47">
        <v>5.0700000000000002E-2</v>
      </c>
    </row>
    <row r="48" spans="1:39" x14ac:dyDescent="0.2">
      <c r="A48" t="s">
        <v>470</v>
      </c>
      <c r="B48" t="s">
        <v>172</v>
      </c>
      <c r="C48" t="s">
        <v>9</v>
      </c>
      <c r="D48" s="184">
        <f>D43/$E$43</f>
        <v>4.4120773974059106E-2</v>
      </c>
      <c r="E48" s="184">
        <f t="shared" ref="E48:J48" si="19">E43/$E$43</f>
        <v>1</v>
      </c>
      <c r="F48" s="184">
        <f t="shared" si="19"/>
        <v>1.0748458430788856</v>
      </c>
      <c r="G48" s="184">
        <f t="shared" si="19"/>
        <v>0.4037848182011482</v>
      </c>
      <c r="H48" s="184">
        <f t="shared" si="19"/>
        <v>1.1232192217733361</v>
      </c>
      <c r="I48" s="184">
        <f t="shared" si="19"/>
        <v>1.3103338294705507</v>
      </c>
      <c r="J48" s="184">
        <f t="shared" si="19"/>
        <v>0.63310652774824572</v>
      </c>
      <c r="AA48" t="s">
        <v>46</v>
      </c>
      <c r="AB48">
        <v>4.1300000000000003E-2</v>
      </c>
      <c r="AC48">
        <v>4.2700000000000002E-2</v>
      </c>
      <c r="AD48">
        <v>4.8300000000000003E-2</v>
      </c>
      <c r="AE48">
        <v>4.24E-2</v>
      </c>
      <c r="AF48">
        <v>4.1500000000000002E-2</v>
      </c>
      <c r="AG48">
        <v>4.48E-2</v>
      </c>
      <c r="AH48">
        <v>4.2900000000000001E-2</v>
      </c>
      <c r="AI48">
        <v>4.5100000000000001E-2</v>
      </c>
      <c r="AJ48">
        <v>4.1399999999999999E-2</v>
      </c>
      <c r="AK48">
        <v>5.1799999999999999E-2</v>
      </c>
      <c r="AL48">
        <v>4.8800000000000003E-2</v>
      </c>
      <c r="AM48">
        <v>4.7699999999999999E-2</v>
      </c>
    </row>
    <row r="49" spans="3:39" x14ac:dyDescent="0.2">
      <c r="D49" s="184">
        <f>D44/$E$44</f>
        <v>6.4217529649985547E-2</v>
      </c>
      <c r="E49" s="184">
        <f t="shared" ref="E49:J49" si="20">E44/$E$44</f>
        <v>1</v>
      </c>
      <c r="F49" s="184">
        <f t="shared" si="20"/>
        <v>0.96644489441712478</v>
      </c>
      <c r="G49" s="184">
        <f t="shared" si="20"/>
        <v>0.40526468035869256</v>
      </c>
      <c r="H49" s="184">
        <f t="shared" si="20"/>
        <v>1.1172982354642755</v>
      </c>
      <c r="I49" s="184">
        <f t="shared" si="20"/>
        <v>1.2134798958634656</v>
      </c>
      <c r="J49" s="184">
        <f t="shared" si="20"/>
        <v>1.1284350592999712</v>
      </c>
      <c r="AA49"/>
      <c r="AB49"/>
      <c r="AC49"/>
      <c r="AD49"/>
      <c r="AE49"/>
      <c r="AF49"/>
      <c r="AG49"/>
    </row>
    <row r="50" spans="3:39" x14ac:dyDescent="0.2">
      <c r="C50" t="s">
        <v>8</v>
      </c>
      <c r="D50" s="184">
        <f>D45/$E$45</f>
        <v>8.6926428077032693E-3</v>
      </c>
      <c r="E50" s="184">
        <f t="shared" ref="E50:J50" si="21">E45/$E$45</f>
        <v>1</v>
      </c>
      <c r="F50" s="184">
        <f t="shared" si="21"/>
        <v>1.0930336712674567</v>
      </c>
      <c r="G50" s="184">
        <f t="shared" si="21"/>
        <v>1.3657831521517856</v>
      </c>
      <c r="H50" s="184">
        <f t="shared" si="21"/>
        <v>1.5768901917674358</v>
      </c>
      <c r="I50" s="184">
        <f t="shared" si="21"/>
        <v>1.9503481128618545</v>
      </c>
      <c r="J50" s="184">
        <f t="shared" si="21"/>
        <v>0.97003379341232043</v>
      </c>
      <c r="AA50" t="s">
        <v>50</v>
      </c>
      <c r="AB50"/>
      <c r="AC50"/>
      <c r="AD50"/>
      <c r="AE50"/>
      <c r="AF50"/>
      <c r="AG50"/>
    </row>
    <row r="51" spans="3:39" x14ac:dyDescent="0.2">
      <c r="D51" s="184">
        <f>D46/$E$46</f>
        <v>8.7219940633513609E-3</v>
      </c>
      <c r="E51" s="184">
        <f t="shared" ref="E51:J51" si="22">E46/$E$46</f>
        <v>1</v>
      </c>
      <c r="F51" s="184">
        <f t="shared" si="22"/>
        <v>0.94620420444842046</v>
      </c>
      <c r="G51" s="184">
        <f t="shared" si="22"/>
        <v>1.2649941040133372</v>
      </c>
      <c r="H51" s="184">
        <f t="shared" si="22"/>
        <v>1.3778310901476034</v>
      </c>
      <c r="I51" s="184">
        <f t="shared" si="22"/>
        <v>1.7151221892408413</v>
      </c>
      <c r="J51" s="184">
        <f t="shared" si="22"/>
        <v>0.91143821412597104</v>
      </c>
      <c r="AA51" t="s">
        <v>37</v>
      </c>
      <c r="AB51">
        <v>1</v>
      </c>
      <c r="AC51">
        <v>2</v>
      </c>
      <c r="AD51">
        <v>3</v>
      </c>
      <c r="AE51">
        <v>4</v>
      </c>
      <c r="AF51">
        <v>5</v>
      </c>
      <c r="AG51">
        <v>6</v>
      </c>
      <c r="AH51">
        <v>7</v>
      </c>
      <c r="AI51">
        <v>8</v>
      </c>
      <c r="AJ51">
        <v>9</v>
      </c>
      <c r="AK51">
        <v>10</v>
      </c>
      <c r="AL51">
        <v>11</v>
      </c>
      <c r="AM51">
        <v>12</v>
      </c>
    </row>
    <row r="52" spans="3:39" x14ac:dyDescent="0.2">
      <c r="D52" s="184"/>
      <c r="E52" s="184"/>
      <c r="F52" s="184"/>
      <c r="G52" s="184"/>
      <c r="H52" s="184"/>
      <c r="I52" s="184"/>
      <c r="J52" s="184"/>
      <c r="AA52" t="s">
        <v>39</v>
      </c>
      <c r="AB52">
        <v>2.1299999999999999E-2</v>
      </c>
      <c r="AC52">
        <v>1.4332</v>
      </c>
      <c r="AD52">
        <v>1.3023</v>
      </c>
      <c r="AE52">
        <v>0.67459999999999998</v>
      </c>
      <c r="AF52">
        <v>0.76949999999999996</v>
      </c>
      <c r="AG52">
        <v>1.0295000000000001</v>
      </c>
      <c r="AH52">
        <v>1.2934000000000001</v>
      </c>
      <c r="AI52" s="96">
        <v>1.4408000000000001</v>
      </c>
      <c r="AJ52" s="96">
        <v>1.5341</v>
      </c>
      <c r="AK52">
        <v>3.3E-3</v>
      </c>
      <c r="AL52">
        <v>2.7000000000000001E-3</v>
      </c>
      <c r="AM52">
        <v>3.3E-3</v>
      </c>
    </row>
    <row r="53" spans="3:39" x14ac:dyDescent="0.2">
      <c r="AA53" t="s">
        <v>40</v>
      </c>
      <c r="AB53">
        <v>2.1399999999999999E-2</v>
      </c>
      <c r="AC53">
        <v>1.0228999999999999</v>
      </c>
      <c r="AD53">
        <v>1.3823000000000001</v>
      </c>
      <c r="AE53">
        <v>0.66720000000000002</v>
      </c>
      <c r="AF53">
        <v>0.77969999999999995</v>
      </c>
      <c r="AG53">
        <v>0.88660000000000005</v>
      </c>
      <c r="AH53">
        <v>1.0891</v>
      </c>
      <c r="AI53" s="96">
        <v>0.64990000000000003</v>
      </c>
      <c r="AJ53" s="96">
        <v>0.67530000000000001</v>
      </c>
      <c r="AK53">
        <v>3.3999999999999998E-3</v>
      </c>
      <c r="AL53">
        <v>3.3999999999999998E-3</v>
      </c>
      <c r="AM53">
        <v>3.0999999999999999E-3</v>
      </c>
    </row>
    <row r="54" spans="3:39" x14ac:dyDescent="0.2">
      <c r="AA54" t="s">
        <v>41</v>
      </c>
      <c r="AB54">
        <v>2.1999999999999999E-2</v>
      </c>
      <c r="AC54">
        <v>1.3843000000000001</v>
      </c>
      <c r="AD54">
        <v>1.2401</v>
      </c>
      <c r="AE54">
        <v>0.6774</v>
      </c>
      <c r="AF54">
        <v>0.72499999999999998</v>
      </c>
      <c r="AG54">
        <v>0.87009999999999998</v>
      </c>
      <c r="AH54">
        <v>1.1341000000000001</v>
      </c>
      <c r="AI54" s="96">
        <v>0.33379999999999999</v>
      </c>
      <c r="AJ54" s="96">
        <v>0.36399999999999999</v>
      </c>
      <c r="AK54">
        <v>3.5000000000000001E-3</v>
      </c>
      <c r="AL54">
        <v>3.0999999999999999E-3</v>
      </c>
      <c r="AM54">
        <v>3.2000000000000002E-3</v>
      </c>
    </row>
    <row r="55" spans="3:39" x14ac:dyDescent="0.2">
      <c r="AA55" t="s">
        <v>42</v>
      </c>
      <c r="AB55">
        <v>2.0899999999999998E-2</v>
      </c>
      <c r="AC55">
        <v>1.075</v>
      </c>
      <c r="AD55">
        <v>1.0869</v>
      </c>
      <c r="AE55">
        <v>0.56699999999999995</v>
      </c>
      <c r="AF55">
        <v>0.63039999999999996</v>
      </c>
      <c r="AG55">
        <v>0.81710000000000005</v>
      </c>
      <c r="AH55">
        <v>1.1073999999999999</v>
      </c>
      <c r="AI55" s="96">
        <v>0.15160000000000001</v>
      </c>
      <c r="AJ55" s="96">
        <v>0.16900000000000001</v>
      </c>
      <c r="AK55">
        <v>3.3E-3</v>
      </c>
      <c r="AL55">
        <v>3.3999999999999998E-3</v>
      </c>
      <c r="AM55">
        <v>2.8999999999999998E-3</v>
      </c>
    </row>
    <row r="56" spans="3:39" x14ac:dyDescent="0.2">
      <c r="AA56" t="s">
        <v>43</v>
      </c>
      <c r="AB56">
        <v>2.0899999999999998E-2</v>
      </c>
      <c r="AC56">
        <v>0.2455</v>
      </c>
      <c r="AD56">
        <v>0.24629999999999999</v>
      </c>
      <c r="AE56">
        <v>9.7199999999999995E-2</v>
      </c>
      <c r="AF56">
        <v>0.1095</v>
      </c>
      <c r="AG56">
        <v>0.12130000000000001</v>
      </c>
      <c r="AH56">
        <v>0.3135</v>
      </c>
      <c r="AI56" s="96">
        <v>8.77E-2</v>
      </c>
      <c r="AJ56" s="96">
        <v>8.3099999999999993E-2</v>
      </c>
      <c r="AK56">
        <v>3.0000000000000001E-3</v>
      </c>
      <c r="AL56">
        <v>3.5000000000000001E-3</v>
      </c>
      <c r="AM56">
        <v>2.8999999999999998E-3</v>
      </c>
    </row>
    <row r="57" spans="3:39" x14ac:dyDescent="0.2">
      <c r="AA57" t="s">
        <v>44</v>
      </c>
      <c r="AB57">
        <v>2.06E-2</v>
      </c>
      <c r="AC57">
        <v>0.2248</v>
      </c>
      <c r="AD57">
        <v>0.25919999999999999</v>
      </c>
      <c r="AE57">
        <v>9.2700000000000005E-2</v>
      </c>
      <c r="AF57">
        <v>0.1018</v>
      </c>
      <c r="AG57">
        <v>0.12520000000000001</v>
      </c>
      <c r="AH57">
        <v>0.28199999999999997</v>
      </c>
      <c r="AI57" s="96">
        <v>4.8899999999999999E-2</v>
      </c>
      <c r="AJ57" s="96">
        <v>5.21E-2</v>
      </c>
      <c r="AK57">
        <v>4.1999999999999997E-3</v>
      </c>
      <c r="AL57">
        <v>3.8999999999999998E-3</v>
      </c>
      <c r="AM57">
        <v>2.8999999999999998E-3</v>
      </c>
    </row>
    <row r="58" spans="3:39" x14ac:dyDescent="0.2">
      <c r="AA58" t="s">
        <v>45</v>
      </c>
      <c r="AB58">
        <v>2.1299999999999999E-2</v>
      </c>
      <c r="AC58">
        <v>0.19189999999999999</v>
      </c>
      <c r="AD58">
        <v>0.1789</v>
      </c>
      <c r="AE58">
        <v>7.3599999999999999E-2</v>
      </c>
      <c r="AF58">
        <v>8.5199999999999998E-2</v>
      </c>
      <c r="AG58">
        <v>9.9000000000000005E-2</v>
      </c>
      <c r="AH58">
        <v>0.2223</v>
      </c>
      <c r="AI58" s="96">
        <v>3.5700000000000003E-2</v>
      </c>
      <c r="AJ58" s="96">
        <v>3.6400000000000002E-2</v>
      </c>
      <c r="AK58">
        <v>3.5000000000000001E-3</v>
      </c>
      <c r="AL58">
        <v>3.5000000000000001E-3</v>
      </c>
      <c r="AM58">
        <v>3.3E-3</v>
      </c>
    </row>
    <row r="59" spans="3:39" x14ac:dyDescent="0.2">
      <c r="AA59" t="s">
        <v>46</v>
      </c>
      <c r="AB59">
        <v>2.3099999999999999E-2</v>
      </c>
      <c r="AC59">
        <v>0.15379999999999999</v>
      </c>
      <c r="AD59">
        <v>0.1552</v>
      </c>
      <c r="AE59">
        <v>6.6500000000000004E-2</v>
      </c>
      <c r="AF59">
        <v>6.93E-2</v>
      </c>
      <c r="AG59">
        <v>6.88E-2</v>
      </c>
      <c r="AH59">
        <v>0.1678</v>
      </c>
      <c r="AI59" s="96">
        <v>2.2599999999999999E-2</v>
      </c>
      <c r="AJ59" s="96">
        <v>2.2100000000000002E-2</v>
      </c>
      <c r="AK59">
        <v>3.8E-3</v>
      </c>
      <c r="AL59">
        <v>3.3E-3</v>
      </c>
      <c r="AM59">
        <v>3.2000000000000002E-3</v>
      </c>
    </row>
    <row r="60" spans="3:39" x14ac:dyDescent="0.2">
      <c r="AA60"/>
      <c r="AB60"/>
      <c r="AC60"/>
      <c r="AD60"/>
      <c r="AE60"/>
      <c r="AF60"/>
      <c r="AG60"/>
    </row>
    <row r="61" spans="3:39" x14ac:dyDescent="0.2">
      <c r="AA61"/>
      <c r="AB61"/>
      <c r="AC61"/>
      <c r="AD61"/>
      <c r="AE61"/>
      <c r="AF61"/>
      <c r="AG61"/>
    </row>
    <row r="62" spans="3:39" x14ac:dyDescent="0.2">
      <c r="AA62" t="s">
        <v>51</v>
      </c>
      <c r="AB62" s="95">
        <v>43938.745324074072</v>
      </c>
      <c r="AC62"/>
      <c r="AD62"/>
      <c r="AE62"/>
      <c r="AF62"/>
      <c r="AG62"/>
    </row>
    <row r="63" spans="3:39" x14ac:dyDescent="0.2">
      <c r="AA63"/>
      <c r="AB63"/>
      <c r="AC63"/>
      <c r="AD63"/>
      <c r="AE63"/>
      <c r="AF63"/>
      <c r="AG63"/>
      <c r="AI63" s="142" t="s">
        <v>397</v>
      </c>
      <c r="AJ63" s="142"/>
    </row>
    <row r="64" spans="3:39" x14ac:dyDescent="0.2">
      <c r="AA64" t="s">
        <v>193</v>
      </c>
      <c r="AB64" s="177">
        <f>AB51</f>
        <v>1</v>
      </c>
      <c r="AC64" s="177">
        <f t="shared" ref="AC64:AM64" si="23">AC51</f>
        <v>2</v>
      </c>
      <c r="AD64" s="177">
        <f t="shared" si="23"/>
        <v>3</v>
      </c>
      <c r="AE64" s="177">
        <f t="shared" si="23"/>
        <v>4</v>
      </c>
      <c r="AF64" s="177">
        <f t="shared" si="23"/>
        <v>5</v>
      </c>
      <c r="AG64" s="177">
        <f t="shared" si="23"/>
        <v>6</v>
      </c>
      <c r="AH64" s="177">
        <f t="shared" si="23"/>
        <v>7</v>
      </c>
      <c r="AI64" s="177">
        <f t="shared" si="23"/>
        <v>8</v>
      </c>
      <c r="AJ64" s="177">
        <f t="shared" si="23"/>
        <v>9</v>
      </c>
      <c r="AK64" s="177">
        <f t="shared" si="23"/>
        <v>10</v>
      </c>
      <c r="AL64" s="177">
        <f t="shared" si="23"/>
        <v>11</v>
      </c>
      <c r="AM64" s="177">
        <f t="shared" si="23"/>
        <v>12</v>
      </c>
    </row>
    <row r="65" spans="26:36" x14ac:dyDescent="0.2">
      <c r="Z65" s="178" t="s">
        <v>551</v>
      </c>
      <c r="AA65" s="177" t="str">
        <f>AA52</f>
        <v>A</v>
      </c>
      <c r="AB65" s="96" t="s">
        <v>508</v>
      </c>
      <c r="AC65" s="96" t="s">
        <v>509</v>
      </c>
      <c r="AD65" s="96" t="s">
        <v>510</v>
      </c>
      <c r="AE65" s="96" t="s">
        <v>511</v>
      </c>
      <c r="AF65" s="96" t="s">
        <v>512</v>
      </c>
      <c r="AG65" s="96" t="s">
        <v>513</v>
      </c>
      <c r="AH65" s="96" t="s">
        <v>514</v>
      </c>
      <c r="AI65">
        <v>1000</v>
      </c>
      <c r="AJ65">
        <v>1000</v>
      </c>
    </row>
    <row r="66" spans="26:36" x14ac:dyDescent="0.2">
      <c r="Z66" s="178"/>
      <c r="AA66" s="177" t="str">
        <f t="shared" ref="AA66:AA73" si="24">AA53</f>
        <v>B</v>
      </c>
      <c r="AB66" s="96" t="s">
        <v>515</v>
      </c>
      <c r="AC66" s="96" t="s">
        <v>516</v>
      </c>
      <c r="AD66" s="96" t="s">
        <v>517</v>
      </c>
      <c r="AE66" s="96" t="s">
        <v>518</v>
      </c>
      <c r="AF66" s="96" t="s">
        <v>519</v>
      </c>
      <c r="AG66" s="96" t="s">
        <v>520</v>
      </c>
      <c r="AH66" s="96" t="s">
        <v>521</v>
      </c>
      <c r="AI66">
        <v>500</v>
      </c>
      <c r="AJ66">
        <v>500</v>
      </c>
    </row>
    <row r="67" spans="26:36" x14ac:dyDescent="0.2">
      <c r="Z67" s="178" t="s">
        <v>550</v>
      </c>
      <c r="AA67" s="177" t="str">
        <f t="shared" si="24"/>
        <v>C</v>
      </c>
      <c r="AB67" s="96" t="s">
        <v>522</v>
      </c>
      <c r="AC67" s="96" t="s">
        <v>523</v>
      </c>
      <c r="AD67" s="96" t="s">
        <v>524</v>
      </c>
      <c r="AE67" s="96" t="s">
        <v>525</v>
      </c>
      <c r="AF67" s="96" t="s">
        <v>526</v>
      </c>
      <c r="AG67" s="96" t="s">
        <v>527</v>
      </c>
      <c r="AH67" s="96" t="s">
        <v>528</v>
      </c>
      <c r="AI67">
        <v>250</v>
      </c>
      <c r="AJ67">
        <v>250</v>
      </c>
    </row>
    <row r="68" spans="26:36" x14ac:dyDescent="0.2">
      <c r="Z68" s="178"/>
      <c r="AA68" s="177" t="str">
        <f t="shared" si="24"/>
        <v>D</v>
      </c>
      <c r="AB68" s="96" t="s">
        <v>529</v>
      </c>
      <c r="AC68" s="96" t="s">
        <v>530</v>
      </c>
      <c r="AD68" s="96" t="s">
        <v>531</v>
      </c>
      <c r="AE68" s="96" t="s">
        <v>532</v>
      </c>
      <c r="AF68" s="96" t="s">
        <v>533</v>
      </c>
      <c r="AG68" s="96" t="s">
        <v>534</v>
      </c>
      <c r="AH68" s="96" t="s">
        <v>535</v>
      </c>
      <c r="AI68">
        <v>125</v>
      </c>
      <c r="AJ68">
        <v>125</v>
      </c>
    </row>
    <row r="69" spans="26:36" x14ac:dyDescent="0.2">
      <c r="Z69" s="178" t="s">
        <v>552</v>
      </c>
      <c r="AA69" s="177" t="str">
        <f t="shared" si="24"/>
        <v>E</v>
      </c>
      <c r="AB69" s="96" t="s">
        <v>490</v>
      </c>
      <c r="AC69" s="96" t="s">
        <v>491</v>
      </c>
      <c r="AD69" s="96" t="s">
        <v>492</v>
      </c>
      <c r="AE69" s="96" t="s">
        <v>493</v>
      </c>
      <c r="AF69" s="96" t="s">
        <v>494</v>
      </c>
      <c r="AG69" s="96" t="s">
        <v>495</v>
      </c>
      <c r="AH69" s="96" t="s">
        <v>496</v>
      </c>
      <c r="AI69">
        <v>62.5</v>
      </c>
      <c r="AJ69">
        <v>62.5</v>
      </c>
    </row>
    <row r="70" spans="26:36" x14ac:dyDescent="0.2">
      <c r="Z70" s="178"/>
      <c r="AA70" s="177" t="str">
        <f t="shared" si="24"/>
        <v>F</v>
      </c>
      <c r="AB70" s="96" t="s">
        <v>543</v>
      </c>
      <c r="AC70" s="96" t="s">
        <v>544</v>
      </c>
      <c r="AD70" s="96" t="s">
        <v>545</v>
      </c>
      <c r="AE70" s="96" t="s">
        <v>546</v>
      </c>
      <c r="AF70" s="96" t="s">
        <v>547</v>
      </c>
      <c r="AG70" s="96" t="s">
        <v>548</v>
      </c>
      <c r="AH70" s="96" t="s">
        <v>549</v>
      </c>
      <c r="AI70" s="181">
        <v>31.25</v>
      </c>
      <c r="AJ70" s="181">
        <v>31.25</v>
      </c>
    </row>
    <row r="71" spans="26:36" x14ac:dyDescent="0.2">
      <c r="Z71" s="178" t="s">
        <v>553</v>
      </c>
      <c r="AA71" s="177" t="str">
        <f t="shared" si="24"/>
        <v>G</v>
      </c>
      <c r="AB71" s="96" t="s">
        <v>497</v>
      </c>
      <c r="AC71" s="96" t="s">
        <v>498</v>
      </c>
      <c r="AD71" s="96" t="s">
        <v>499</v>
      </c>
      <c r="AE71" s="96" t="s">
        <v>500</v>
      </c>
      <c r="AF71" s="96" t="s">
        <v>501</v>
      </c>
      <c r="AG71" s="96" t="s">
        <v>502</v>
      </c>
      <c r="AH71" s="96" t="s">
        <v>503</v>
      </c>
      <c r="AI71" s="181">
        <v>15.625</v>
      </c>
      <c r="AJ71" s="181">
        <v>15.625</v>
      </c>
    </row>
    <row r="72" spans="26:36" x14ac:dyDescent="0.2">
      <c r="Z72" s="178"/>
      <c r="AA72" s="177" t="str">
        <f t="shared" si="24"/>
        <v>H</v>
      </c>
      <c r="AB72" s="96" t="s">
        <v>536</v>
      </c>
      <c r="AC72" s="96" t="s">
        <v>537</v>
      </c>
      <c r="AD72" s="96" t="s">
        <v>538</v>
      </c>
      <c r="AE72" s="96" t="s">
        <v>539</v>
      </c>
      <c r="AF72" s="96" t="s">
        <v>540</v>
      </c>
      <c r="AG72" s="96" t="s">
        <v>541</v>
      </c>
      <c r="AH72" s="96" t="s">
        <v>542</v>
      </c>
      <c r="AI72" s="181">
        <v>0</v>
      </c>
      <c r="AJ72" s="181">
        <v>0</v>
      </c>
    </row>
    <row r="73" spans="26:36" x14ac:dyDescent="0.2">
      <c r="AA73" s="177">
        <f t="shared" si="24"/>
        <v>0</v>
      </c>
    </row>
  </sheetData>
  <mergeCells count="9">
    <mergeCell ref="Z67:Z68"/>
    <mergeCell ref="Z69:Z70"/>
    <mergeCell ref="Z71:Z72"/>
    <mergeCell ref="D15:J15"/>
    <mergeCell ref="D6:J6"/>
    <mergeCell ref="D24:J24"/>
    <mergeCell ref="D33:J33"/>
    <mergeCell ref="AI63:AJ63"/>
    <mergeCell ref="Z65:Z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VSV eGFP 171013 </vt:lpstr>
      <vt:lpstr>171018 AD dil</vt:lpstr>
      <vt:lpstr>171129</vt:lpstr>
      <vt:lpstr>171219 G2 </vt:lpstr>
      <vt:lpstr>180224 27 AD</vt:lpstr>
      <vt:lpstr>180420</vt:lpstr>
      <vt:lpstr>180711 </vt:lpstr>
      <vt:lpstr>VSV luc 2003 31</vt:lpstr>
      <vt:lpstr>VSV luc 2004 06 09</vt:lpstr>
      <vt:lpstr>Alu Quantitative PCR, 04-01-20</vt:lpstr>
      <vt:lpstr>Alu, Quantitative PCR, 16-1-20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Kasha Singh</dc:creator>
  <cp:lastModifiedBy>Kasha Singh</cp:lastModifiedBy>
  <dcterms:created xsi:type="dcterms:W3CDTF">2020-07-27T13:20:54Z</dcterms:created>
  <dcterms:modified xsi:type="dcterms:W3CDTF">2020-07-30T08:45:15Z</dcterms:modified>
</cp:coreProperties>
</file>