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/Documents/Work Folder/Manuscripts/Paracetamol/"/>
    </mc:Choice>
  </mc:AlternateContent>
  <xr:revisionPtr revIDLastSave="0" documentId="13_ncr:1_{3E42EACD-5B31-C148-88D1-24726BC41E5F}" xr6:coauthVersionLast="45" xr6:coauthVersionMax="45" xr10:uidLastSave="{00000000-0000-0000-0000-000000000000}"/>
  <bookViews>
    <workbookView xWindow="5920" yWindow="1140" windowWidth="42540" windowHeight="33480" activeTab="11" xr2:uid="{719B1531-D1B8-E741-9BBD-AF2F5D862C69}"/>
  </bookViews>
  <sheets>
    <sheet name="Control sucrose ip" sheetId="2" r:id="rId1"/>
    <sheet name="Control ip 2" sheetId="11" r:id="rId2"/>
    <sheet name="Chronic low dose para ip 1" sheetId="7" r:id="rId3"/>
    <sheet name="Chronic low dose para ip 2" sheetId="10" r:id="rId4"/>
    <sheet name="Chronic high dose para ip 1" sheetId="8" r:id="rId5"/>
    <sheet name="Chronic high dose para ip 2" sheetId="9" r:id="rId6"/>
    <sheet name="Chronic high dose para ip 3" sheetId="5" r:id="rId7"/>
    <sheet name="Calculations fetus to mum" sheetId="13" r:id="rId8"/>
    <sheet name="Control iv " sheetId="1" r:id="rId9"/>
    <sheet name="Acute para iv" sheetId="4" r:id="rId10"/>
    <sheet name="Chronic para iv" sheetId="3" r:id="rId11"/>
    <sheet name="Calculations mum to fetus" sheetId="12" r:id="rId1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3" i="2"/>
  <c r="F24" i="13"/>
  <c r="C24" i="13"/>
  <c r="F23" i="13"/>
  <c r="C23" i="13"/>
  <c r="F22" i="13"/>
  <c r="C22" i="13"/>
  <c r="F21" i="13"/>
  <c r="C21" i="13"/>
  <c r="X20" i="13"/>
  <c r="U20" i="13"/>
  <c r="F20" i="13"/>
  <c r="C20" i="13"/>
  <c r="X19" i="13"/>
  <c r="U19" i="13"/>
  <c r="F19" i="13"/>
  <c r="C19" i="13"/>
  <c r="X18" i="13"/>
  <c r="U18" i="13"/>
  <c r="F18" i="13"/>
  <c r="C18" i="13"/>
  <c r="L18" i="13"/>
  <c r="I18" i="13"/>
  <c r="X17" i="13"/>
  <c r="U17" i="13"/>
  <c r="F17" i="13"/>
  <c r="C17" i="13"/>
  <c r="L17" i="13"/>
  <c r="I17" i="13"/>
  <c r="X16" i="13"/>
  <c r="U16" i="13"/>
  <c r="F16" i="13"/>
  <c r="C16" i="13"/>
  <c r="L16" i="13"/>
  <c r="I16" i="13"/>
  <c r="R16" i="13"/>
  <c r="O16" i="13"/>
  <c r="U15" i="13"/>
  <c r="F15" i="13"/>
  <c r="C15" i="13"/>
  <c r="L15" i="13"/>
  <c r="I15" i="13"/>
  <c r="R15" i="13"/>
  <c r="O15" i="13"/>
  <c r="U14" i="13"/>
  <c r="C14" i="13"/>
  <c r="L14" i="13"/>
  <c r="I14" i="13"/>
  <c r="R14" i="13"/>
  <c r="O14" i="13"/>
  <c r="U13" i="13"/>
  <c r="I13" i="13"/>
  <c r="R13" i="13"/>
  <c r="O13" i="13"/>
  <c r="R12" i="13"/>
  <c r="O12" i="13"/>
  <c r="D14" i="12"/>
  <c r="G13" i="12"/>
  <c r="F13" i="12"/>
  <c r="G12" i="12"/>
  <c r="F12" i="12"/>
  <c r="M11" i="12"/>
  <c r="G11" i="12"/>
  <c r="F11" i="12"/>
  <c r="P10" i="12"/>
  <c r="O10" i="12"/>
  <c r="G10" i="12"/>
  <c r="F10" i="12"/>
  <c r="P9" i="12"/>
  <c r="O9" i="12"/>
  <c r="P8" i="12"/>
  <c r="O8" i="12"/>
  <c r="G8" i="12"/>
  <c r="F8" i="12"/>
  <c r="P7" i="12"/>
  <c r="O7" i="12"/>
  <c r="G7" i="12"/>
  <c r="F7" i="12"/>
  <c r="P6" i="12"/>
  <c r="O6" i="12"/>
  <c r="G6" i="12"/>
  <c r="F6" i="12"/>
  <c r="P5" i="12"/>
  <c r="O5" i="12"/>
  <c r="G5" i="12"/>
  <c r="F5" i="12"/>
  <c r="G30" i="11"/>
  <c r="K30" i="11"/>
  <c r="G29" i="11"/>
  <c r="K29" i="11"/>
  <c r="G28" i="11"/>
  <c r="K28" i="11"/>
  <c r="G27" i="11"/>
  <c r="K27" i="11"/>
  <c r="G26" i="11"/>
  <c r="K26" i="11"/>
  <c r="G25" i="11"/>
  <c r="K25" i="11"/>
  <c r="G23" i="11"/>
  <c r="K23" i="11"/>
  <c r="G22" i="11"/>
  <c r="K22" i="11"/>
  <c r="G21" i="11"/>
  <c r="K21" i="11"/>
  <c r="G20" i="11"/>
  <c r="K20" i="11"/>
  <c r="G19" i="11"/>
  <c r="K19" i="11"/>
  <c r="G18" i="11"/>
  <c r="K18" i="11"/>
  <c r="G17" i="11"/>
  <c r="K17" i="11"/>
  <c r="G16" i="11"/>
  <c r="K16" i="11"/>
  <c r="P6" i="11"/>
  <c r="P7" i="11"/>
  <c r="P8" i="11"/>
  <c r="P9" i="11"/>
  <c r="P10" i="11"/>
  <c r="P15" i="11"/>
  <c r="G10" i="11"/>
  <c r="K10" i="11"/>
  <c r="O6" i="11"/>
  <c r="G11" i="11"/>
  <c r="K11" i="11"/>
  <c r="O7" i="11"/>
  <c r="G12" i="11"/>
  <c r="K12" i="11"/>
  <c r="O8" i="11"/>
  <c r="G13" i="11"/>
  <c r="K13" i="11"/>
  <c r="O9" i="11"/>
  <c r="G14" i="11"/>
  <c r="K14" i="11"/>
  <c r="O10" i="11"/>
  <c r="O15" i="11"/>
  <c r="G15" i="11"/>
  <c r="K15" i="11"/>
  <c r="P14" i="11"/>
  <c r="O14" i="11"/>
  <c r="Q12" i="11"/>
  <c r="O12" i="11"/>
  <c r="Q11" i="11"/>
  <c r="O11" i="11"/>
  <c r="Q10" i="11"/>
  <c r="Q9" i="11"/>
  <c r="Q8" i="11"/>
  <c r="Q7" i="11"/>
  <c r="Q6" i="11"/>
  <c r="F6" i="11"/>
  <c r="X2" i="10"/>
  <c r="X3" i="10"/>
  <c r="X4" i="10"/>
  <c r="X5" i="10"/>
  <c r="X6" i="10"/>
  <c r="X7" i="10"/>
  <c r="X9" i="10"/>
  <c r="W2" i="10"/>
  <c r="W3" i="10"/>
  <c r="W4" i="10"/>
  <c r="W5" i="10"/>
  <c r="W6" i="10"/>
  <c r="W9" i="10"/>
  <c r="V2" i="10"/>
  <c r="V3" i="10"/>
  <c r="V4" i="10"/>
  <c r="V5" i="10"/>
  <c r="V6" i="10"/>
  <c r="V7" i="10"/>
  <c r="V9" i="10"/>
  <c r="S9" i="10"/>
  <c r="R9" i="10"/>
  <c r="Q9" i="10"/>
  <c r="Z8" i="10"/>
  <c r="N8" i="10"/>
  <c r="Z7" i="10"/>
  <c r="N7" i="10"/>
  <c r="Z6" i="10"/>
  <c r="N6" i="10"/>
  <c r="Z5" i="10"/>
  <c r="N5" i="10"/>
  <c r="Z4" i="10"/>
  <c r="N4" i="10"/>
  <c r="Z3" i="10"/>
  <c r="N3" i="10"/>
  <c r="Z2" i="10"/>
  <c r="N2" i="10"/>
  <c r="G54" i="10"/>
  <c r="K54" i="10"/>
  <c r="G53" i="10"/>
  <c r="K53" i="10"/>
  <c r="G52" i="10"/>
  <c r="K52" i="10"/>
  <c r="G51" i="10"/>
  <c r="K51" i="10"/>
  <c r="G50" i="10"/>
  <c r="K50" i="10"/>
  <c r="G49" i="10"/>
  <c r="K49" i="10"/>
  <c r="G48" i="10"/>
  <c r="K48" i="10"/>
  <c r="G46" i="10"/>
  <c r="G45" i="10"/>
  <c r="G43" i="10"/>
  <c r="G38" i="10"/>
  <c r="K38" i="10"/>
  <c r="G29" i="10"/>
  <c r="K29" i="10"/>
  <c r="G37" i="10"/>
  <c r="K37" i="10"/>
  <c r="G28" i="10"/>
  <c r="K28" i="10"/>
  <c r="G36" i="10"/>
  <c r="K36" i="10"/>
  <c r="G27" i="10"/>
  <c r="K27" i="10"/>
  <c r="G35" i="10"/>
  <c r="K35" i="10"/>
  <c r="G26" i="10"/>
  <c r="K26" i="10"/>
  <c r="G34" i="10"/>
  <c r="K34" i="10"/>
  <c r="G25" i="10"/>
  <c r="K25" i="10"/>
  <c r="G33" i="10"/>
  <c r="K33" i="10"/>
  <c r="G24" i="10"/>
  <c r="K24" i="10"/>
  <c r="G32" i="10"/>
  <c r="K32" i="10"/>
  <c r="G23" i="10"/>
  <c r="K23" i="10"/>
  <c r="G31" i="10"/>
  <c r="K31" i="10"/>
  <c r="G21" i="10"/>
  <c r="K21" i="10"/>
  <c r="G20" i="10"/>
  <c r="K20" i="10"/>
  <c r="G19" i="10"/>
  <c r="K19" i="10"/>
  <c r="G18" i="10"/>
  <c r="K18" i="10"/>
  <c r="G17" i="10"/>
  <c r="K17" i="10"/>
  <c r="G16" i="10"/>
  <c r="K16" i="10"/>
  <c r="G15" i="10"/>
  <c r="K15" i="10"/>
  <c r="G13" i="10"/>
  <c r="K13" i="10"/>
  <c r="G12" i="10"/>
  <c r="K12" i="10"/>
  <c r="G11" i="10"/>
  <c r="K11" i="10"/>
  <c r="G10" i="10"/>
  <c r="K10" i="10"/>
  <c r="G9" i="10"/>
  <c r="K9" i="10"/>
  <c r="G8" i="10"/>
  <c r="K8" i="10"/>
  <c r="G7" i="10"/>
  <c r="K7" i="10"/>
  <c r="U5" i="9"/>
  <c r="T5" i="9"/>
  <c r="S5" i="9"/>
  <c r="U4" i="9"/>
  <c r="T4" i="9"/>
  <c r="S4" i="9"/>
  <c r="U3" i="9"/>
  <c r="T3" i="9"/>
  <c r="S3" i="9"/>
  <c r="U2" i="9"/>
  <c r="T2" i="9"/>
  <c r="S2" i="9"/>
  <c r="G37" i="9"/>
  <c r="K37" i="9"/>
  <c r="G36" i="9"/>
  <c r="K36" i="9"/>
  <c r="G35" i="9"/>
  <c r="K35" i="9"/>
  <c r="G34" i="9"/>
  <c r="K34" i="9"/>
  <c r="G32" i="9"/>
  <c r="G27" i="9"/>
  <c r="K27" i="9"/>
  <c r="G25" i="9"/>
  <c r="K25" i="9"/>
  <c r="G24" i="9"/>
  <c r="K24" i="9"/>
  <c r="G23" i="9"/>
  <c r="K23" i="9"/>
  <c r="G22" i="9"/>
  <c r="K22" i="9"/>
  <c r="G21" i="9"/>
  <c r="K21" i="9"/>
  <c r="G20" i="9"/>
  <c r="K20" i="9"/>
  <c r="G18" i="9"/>
  <c r="K18" i="9"/>
  <c r="G17" i="9"/>
  <c r="K17" i="9"/>
  <c r="G15" i="9"/>
  <c r="K15" i="9"/>
  <c r="G14" i="9"/>
  <c r="K14" i="9"/>
  <c r="G13" i="9"/>
  <c r="K13" i="9"/>
  <c r="G12" i="9"/>
  <c r="K12" i="9"/>
  <c r="G10" i="9"/>
  <c r="K10" i="9"/>
  <c r="G9" i="9"/>
  <c r="K9" i="9"/>
  <c r="G8" i="9"/>
  <c r="K8" i="9"/>
  <c r="G7" i="9"/>
  <c r="K7" i="9"/>
  <c r="V4" i="8"/>
  <c r="V5" i="8"/>
  <c r="V6" i="8"/>
  <c r="V7" i="8"/>
  <c r="V9" i="8"/>
  <c r="U4" i="8"/>
  <c r="U5" i="8"/>
  <c r="U6" i="8"/>
  <c r="U7" i="8"/>
  <c r="U9" i="8"/>
  <c r="T4" i="8"/>
  <c r="T5" i="8"/>
  <c r="T6" i="8"/>
  <c r="T7" i="8"/>
  <c r="T9" i="8"/>
  <c r="Q9" i="8"/>
  <c r="P9" i="8"/>
  <c r="O9" i="8"/>
  <c r="X7" i="8"/>
  <c r="X6" i="8"/>
  <c r="X5" i="8"/>
  <c r="X4" i="8"/>
  <c r="V3" i="8"/>
  <c r="U3" i="8"/>
  <c r="T3" i="8"/>
  <c r="G30" i="8"/>
  <c r="K30" i="8"/>
  <c r="G29" i="8"/>
  <c r="K29" i="8"/>
  <c r="G28" i="8"/>
  <c r="K28" i="8"/>
  <c r="G27" i="8"/>
  <c r="K27" i="8"/>
  <c r="G26" i="8"/>
  <c r="K26" i="8"/>
  <c r="G24" i="8"/>
  <c r="G18" i="8"/>
  <c r="K18" i="8"/>
  <c r="G16" i="8"/>
  <c r="K16" i="8"/>
  <c r="G15" i="8"/>
  <c r="K15" i="8"/>
  <c r="G14" i="8"/>
  <c r="K14" i="8"/>
  <c r="G13" i="8"/>
  <c r="K13" i="8"/>
  <c r="G12" i="8"/>
  <c r="K12" i="8"/>
  <c r="G10" i="8"/>
  <c r="K10" i="8"/>
  <c r="G9" i="8"/>
  <c r="K9" i="8"/>
  <c r="G7" i="8"/>
  <c r="K7" i="8"/>
  <c r="G8" i="8"/>
  <c r="K8" i="8"/>
  <c r="G6" i="8"/>
  <c r="K6" i="8"/>
  <c r="V5" i="7"/>
  <c r="V6" i="7"/>
  <c r="V7" i="7"/>
  <c r="V8" i="7"/>
  <c r="V3" i="7"/>
  <c r="V10" i="7"/>
  <c r="U5" i="7"/>
  <c r="U6" i="7"/>
  <c r="U7" i="7"/>
  <c r="U8" i="7"/>
  <c r="U3" i="7"/>
  <c r="U10" i="7"/>
  <c r="T5" i="7"/>
  <c r="T6" i="7"/>
  <c r="T7" i="7"/>
  <c r="T8" i="7"/>
  <c r="T3" i="7"/>
  <c r="T10" i="7"/>
  <c r="Q10" i="7"/>
  <c r="P10" i="7"/>
  <c r="O10" i="7"/>
  <c r="X8" i="7"/>
  <c r="X7" i="7"/>
  <c r="X6" i="7"/>
  <c r="X5" i="7"/>
  <c r="V4" i="7"/>
  <c r="U4" i="7"/>
  <c r="T4" i="7"/>
  <c r="X3" i="7"/>
  <c r="G35" i="7"/>
  <c r="K35" i="7"/>
  <c r="G34" i="7"/>
  <c r="K34" i="7"/>
  <c r="G33" i="7"/>
  <c r="K33" i="7"/>
  <c r="G32" i="7"/>
  <c r="K32" i="7"/>
  <c r="G31" i="7"/>
  <c r="K31" i="7"/>
  <c r="G30" i="7"/>
  <c r="K30" i="7"/>
  <c r="G28" i="7"/>
  <c r="G22" i="7"/>
  <c r="K22" i="7"/>
  <c r="G20" i="7"/>
  <c r="K20" i="7"/>
  <c r="G18" i="7"/>
  <c r="K18" i="7"/>
  <c r="G17" i="7"/>
  <c r="K17" i="7"/>
  <c r="G16" i="7"/>
  <c r="K16" i="7"/>
  <c r="G15" i="7"/>
  <c r="K15" i="7"/>
  <c r="G14" i="7"/>
  <c r="K14" i="7"/>
  <c r="G13" i="7"/>
  <c r="K13" i="7"/>
  <c r="G11" i="7"/>
  <c r="K11" i="7"/>
  <c r="G10" i="7"/>
  <c r="K10" i="7"/>
  <c r="G8" i="7"/>
  <c r="K8" i="7"/>
  <c r="G9" i="7"/>
  <c r="K9" i="7"/>
  <c r="G6" i="7"/>
  <c r="K6" i="7"/>
  <c r="G7" i="7"/>
  <c r="K7" i="7"/>
  <c r="W3" i="5"/>
  <c r="W4" i="5"/>
  <c r="W5" i="5"/>
  <c r="W7" i="5"/>
  <c r="W8" i="5"/>
  <c r="W10" i="5"/>
  <c r="V3" i="5"/>
  <c r="V4" i="5"/>
  <c r="V7" i="5"/>
  <c r="V8" i="5"/>
  <c r="V10" i="5"/>
  <c r="U3" i="5"/>
  <c r="U4" i="5"/>
  <c r="U5" i="5"/>
  <c r="U7" i="5"/>
  <c r="U8" i="5"/>
  <c r="U10" i="5"/>
  <c r="R10" i="5"/>
  <c r="Q10" i="5"/>
  <c r="P10" i="5"/>
  <c r="W9" i="5"/>
  <c r="W6" i="5"/>
  <c r="V6" i="5"/>
  <c r="U6" i="5"/>
  <c r="G56" i="5"/>
  <c r="K56" i="5"/>
  <c r="G55" i="5"/>
  <c r="K55" i="5"/>
  <c r="G53" i="5"/>
  <c r="K53" i="5"/>
  <c r="G52" i="5"/>
  <c r="K52" i="5"/>
  <c r="G51" i="5"/>
  <c r="K51" i="5"/>
  <c r="G50" i="5"/>
  <c r="K50" i="5"/>
  <c r="G49" i="5"/>
  <c r="K49" i="5"/>
  <c r="G48" i="5"/>
  <c r="K48" i="5"/>
  <c r="G46" i="5"/>
  <c r="G39" i="5"/>
  <c r="K39" i="5"/>
  <c r="G37" i="5"/>
  <c r="K37" i="5"/>
  <c r="G28" i="5"/>
  <c r="K28" i="5"/>
  <c r="G35" i="5"/>
  <c r="K35" i="5"/>
  <c r="M35" i="5"/>
  <c r="G27" i="5"/>
  <c r="K27" i="5"/>
  <c r="G34" i="5"/>
  <c r="K34" i="5"/>
  <c r="M34" i="5"/>
  <c r="G26" i="5"/>
  <c r="K26" i="5"/>
  <c r="G33" i="5"/>
  <c r="K33" i="5"/>
  <c r="M33" i="5"/>
  <c r="G25" i="5"/>
  <c r="K25" i="5"/>
  <c r="G32" i="5"/>
  <c r="K32" i="5"/>
  <c r="M32" i="5"/>
  <c r="G24" i="5"/>
  <c r="K24" i="5"/>
  <c r="G31" i="5"/>
  <c r="K31" i="5"/>
  <c r="M31" i="5"/>
  <c r="G23" i="5"/>
  <c r="K23" i="5"/>
  <c r="G30" i="5"/>
  <c r="K30" i="5"/>
  <c r="M30" i="5"/>
  <c r="M28" i="5"/>
  <c r="M27" i="5"/>
  <c r="M26" i="5"/>
  <c r="M25" i="5"/>
  <c r="M24" i="5"/>
  <c r="M23" i="5"/>
  <c r="G20" i="5"/>
  <c r="K20" i="5"/>
  <c r="G19" i="5"/>
  <c r="K19" i="5"/>
  <c r="G18" i="5"/>
  <c r="K18" i="5"/>
  <c r="G17" i="5"/>
  <c r="G16" i="5"/>
  <c r="K16" i="5"/>
  <c r="G15" i="5"/>
  <c r="K15" i="5"/>
  <c r="G13" i="5"/>
  <c r="K13" i="5"/>
  <c r="G12" i="5"/>
  <c r="K12" i="5"/>
  <c r="G11" i="5"/>
  <c r="K11" i="5"/>
  <c r="G10" i="5"/>
  <c r="K10" i="5"/>
  <c r="G9" i="5"/>
  <c r="K9" i="5"/>
  <c r="G8" i="5"/>
  <c r="K8" i="5"/>
  <c r="G7" i="5"/>
  <c r="K7" i="5"/>
  <c r="G71" i="4"/>
  <c r="K71" i="4"/>
  <c r="G70" i="4"/>
  <c r="K70" i="4"/>
  <c r="M70" i="4"/>
  <c r="G68" i="4"/>
  <c r="K68" i="4"/>
  <c r="G67" i="4"/>
  <c r="K67" i="4"/>
  <c r="G66" i="4"/>
  <c r="K66" i="4"/>
  <c r="G65" i="4"/>
  <c r="K65" i="4"/>
  <c r="G64" i="4"/>
  <c r="K64" i="4"/>
  <c r="G63" i="4"/>
  <c r="K63" i="4"/>
  <c r="G62" i="4"/>
  <c r="K62" i="4"/>
  <c r="G61" i="4"/>
  <c r="K61" i="4"/>
  <c r="G60" i="4"/>
  <c r="K60" i="4"/>
  <c r="G59" i="4"/>
  <c r="K59" i="4"/>
  <c r="G53" i="4"/>
  <c r="K53" i="4"/>
  <c r="G52" i="4"/>
  <c r="K52" i="4"/>
  <c r="G51" i="4"/>
  <c r="K51" i="4"/>
  <c r="G50" i="4"/>
  <c r="K50" i="4"/>
  <c r="G49" i="4"/>
  <c r="K49" i="4"/>
  <c r="G48" i="4"/>
  <c r="K48" i="4"/>
  <c r="G47" i="4"/>
  <c r="K47" i="4"/>
  <c r="G46" i="4"/>
  <c r="K46" i="4"/>
  <c r="G45" i="4"/>
  <c r="K45" i="4"/>
  <c r="G44" i="4"/>
  <c r="K44" i="4"/>
  <c r="G43" i="4"/>
  <c r="K43" i="4"/>
  <c r="G42" i="4"/>
  <c r="K42" i="4"/>
  <c r="G41" i="4"/>
  <c r="K41" i="4"/>
  <c r="G38" i="4"/>
  <c r="K38" i="4"/>
  <c r="G37" i="4"/>
  <c r="K37" i="4"/>
  <c r="G36" i="4"/>
  <c r="K36" i="4"/>
  <c r="G35" i="4"/>
  <c r="K35" i="4"/>
  <c r="G34" i="4"/>
  <c r="K34" i="4"/>
  <c r="G33" i="4"/>
  <c r="K33" i="4"/>
  <c r="G32" i="4"/>
  <c r="K32" i="4"/>
  <c r="G31" i="4"/>
  <c r="K31" i="4"/>
  <c r="G30" i="4"/>
  <c r="K30" i="4"/>
  <c r="G29" i="4"/>
  <c r="K29" i="4"/>
  <c r="G27" i="4"/>
  <c r="K27" i="4"/>
  <c r="G26" i="4"/>
  <c r="K26" i="4"/>
  <c r="G25" i="4"/>
  <c r="K25" i="4"/>
  <c r="G24" i="4"/>
  <c r="K24" i="4"/>
  <c r="G23" i="4"/>
  <c r="K23" i="4"/>
  <c r="G22" i="4"/>
  <c r="K22" i="4"/>
  <c r="G21" i="4"/>
  <c r="K21" i="4"/>
  <c r="G17" i="4"/>
  <c r="K17" i="4"/>
  <c r="G16" i="4"/>
  <c r="K16" i="4"/>
  <c r="G15" i="4"/>
  <c r="K15" i="4"/>
  <c r="G14" i="4"/>
  <c r="K14" i="4"/>
  <c r="G13" i="4"/>
  <c r="K13" i="4"/>
  <c r="G12" i="4"/>
  <c r="K12" i="4"/>
  <c r="G11" i="4"/>
  <c r="K11" i="4"/>
  <c r="G10" i="4"/>
  <c r="K10" i="4"/>
  <c r="G9" i="4"/>
  <c r="K9" i="4"/>
  <c r="G8" i="4"/>
  <c r="K8" i="4"/>
  <c r="G7" i="4"/>
  <c r="K7" i="4"/>
  <c r="G6" i="4"/>
  <c r="K6" i="4"/>
  <c r="G5" i="4"/>
  <c r="K5" i="4"/>
  <c r="G43" i="3"/>
  <c r="K43" i="3"/>
  <c r="G42" i="3"/>
  <c r="K42" i="3"/>
  <c r="G41" i="3"/>
  <c r="K41" i="3"/>
  <c r="G40" i="3"/>
  <c r="K40" i="3"/>
  <c r="G39" i="3"/>
  <c r="K39" i="3"/>
  <c r="G38" i="3"/>
  <c r="K38" i="3"/>
  <c r="G36" i="3"/>
  <c r="K36" i="3"/>
  <c r="G34" i="3"/>
  <c r="G23" i="3"/>
  <c r="K23" i="3"/>
  <c r="G21" i="3"/>
  <c r="K21" i="3"/>
  <c r="G20" i="3"/>
  <c r="G19" i="3"/>
  <c r="K19" i="3"/>
  <c r="G18" i="3"/>
  <c r="K18" i="3"/>
  <c r="G17" i="3"/>
  <c r="K17" i="3"/>
  <c r="G16" i="3"/>
  <c r="K16" i="3"/>
  <c r="G14" i="3"/>
  <c r="K14" i="3"/>
  <c r="G13" i="3"/>
  <c r="K13" i="3"/>
  <c r="G12" i="3"/>
  <c r="K12" i="3"/>
  <c r="G11" i="3"/>
  <c r="K11" i="3"/>
  <c r="G10" i="3"/>
  <c r="K10" i="3"/>
  <c r="G9" i="3"/>
  <c r="K9" i="3"/>
  <c r="G7" i="3"/>
  <c r="K7" i="3"/>
  <c r="G6" i="3"/>
  <c r="K6" i="3"/>
  <c r="G5" i="3"/>
  <c r="K5" i="3"/>
  <c r="G4" i="3"/>
  <c r="K4" i="3"/>
  <c r="G3" i="3"/>
  <c r="K3" i="3"/>
  <c r="G2" i="3"/>
  <c r="K2" i="3"/>
  <c r="G80" i="2"/>
  <c r="K80" i="2"/>
  <c r="G79" i="2"/>
  <c r="K79" i="2"/>
  <c r="G78" i="2"/>
  <c r="K78" i="2"/>
  <c r="G77" i="2"/>
  <c r="K77" i="2"/>
  <c r="G76" i="2"/>
  <c r="K76" i="2"/>
  <c r="G75" i="2"/>
  <c r="K75" i="2"/>
  <c r="G74" i="2"/>
  <c r="K74" i="2"/>
  <c r="G73" i="2"/>
  <c r="K73" i="2"/>
  <c r="G72" i="2"/>
  <c r="K72" i="2"/>
  <c r="G71" i="2"/>
  <c r="K71" i="2"/>
  <c r="G70" i="2"/>
  <c r="Y10" i="2"/>
  <c r="V10" i="2"/>
  <c r="U10" i="2"/>
  <c r="Y9" i="2"/>
  <c r="V9" i="2"/>
  <c r="U9" i="2"/>
  <c r="V8" i="2"/>
  <c r="U8" i="2"/>
  <c r="Y7" i="2"/>
  <c r="V7" i="2"/>
  <c r="U7" i="2"/>
  <c r="Y6" i="2"/>
  <c r="V6" i="2"/>
  <c r="U6" i="2"/>
  <c r="Y5" i="2"/>
  <c r="V5" i="2"/>
  <c r="U5" i="2"/>
  <c r="Y4" i="2"/>
  <c r="V4" i="2"/>
  <c r="U4" i="2"/>
  <c r="Y3" i="2"/>
  <c r="V3" i="2"/>
  <c r="U3" i="2"/>
  <c r="G62" i="2"/>
  <c r="K62" i="2"/>
  <c r="G61" i="2"/>
  <c r="K61" i="2"/>
  <c r="G60" i="2"/>
  <c r="K60" i="2"/>
  <c r="G59" i="2"/>
  <c r="K59" i="2"/>
  <c r="G58" i="2"/>
  <c r="K58" i="2"/>
  <c r="G57" i="2"/>
  <c r="K57" i="2"/>
  <c r="G56" i="2"/>
  <c r="K56" i="2"/>
  <c r="G55" i="2"/>
  <c r="K55" i="2"/>
  <c r="G53" i="2"/>
  <c r="G47" i="2"/>
  <c r="K47" i="2"/>
  <c r="G45" i="2"/>
  <c r="K45" i="2"/>
  <c r="G43" i="2"/>
  <c r="K43" i="2"/>
  <c r="G42" i="2"/>
  <c r="K42" i="2"/>
  <c r="G41" i="2"/>
  <c r="K41" i="2"/>
  <c r="G40" i="2"/>
  <c r="K40" i="2"/>
  <c r="G39" i="2"/>
  <c r="K39" i="2"/>
  <c r="G38" i="2"/>
  <c r="K38" i="2"/>
  <c r="G37" i="2"/>
  <c r="K37" i="2"/>
  <c r="G36" i="2"/>
  <c r="K36" i="2"/>
  <c r="G35" i="2"/>
  <c r="K35" i="2"/>
  <c r="G34" i="2"/>
  <c r="K34" i="2"/>
  <c r="G33" i="2"/>
  <c r="K33" i="2"/>
  <c r="G30" i="2"/>
  <c r="K30" i="2"/>
  <c r="G29" i="2"/>
  <c r="K29" i="2"/>
  <c r="G28" i="2"/>
  <c r="K28" i="2"/>
  <c r="G27" i="2"/>
  <c r="K27" i="2"/>
  <c r="G26" i="2"/>
  <c r="K26" i="2"/>
  <c r="G25" i="2"/>
  <c r="K25" i="2"/>
  <c r="G24" i="2"/>
  <c r="K24" i="2"/>
  <c r="G22" i="2"/>
  <c r="K22" i="2"/>
  <c r="G21" i="2"/>
  <c r="K21" i="2"/>
  <c r="G20" i="2"/>
  <c r="K20" i="2"/>
  <c r="G19" i="2"/>
  <c r="K19" i="2"/>
  <c r="G18" i="2"/>
  <c r="K18" i="2"/>
  <c r="G17" i="2"/>
  <c r="K17" i="2"/>
  <c r="G16" i="2"/>
  <c r="K16" i="2"/>
  <c r="G15" i="2"/>
  <c r="K15" i="2"/>
  <c r="G13" i="2"/>
  <c r="K13" i="2"/>
  <c r="G12" i="2"/>
  <c r="K12" i="2"/>
  <c r="G11" i="2"/>
  <c r="K11" i="2"/>
  <c r="G10" i="2"/>
  <c r="K10" i="2"/>
  <c r="G9" i="2"/>
  <c r="K9" i="2"/>
  <c r="G8" i="2"/>
  <c r="K8" i="2"/>
  <c r="G7" i="2"/>
  <c r="K7" i="2"/>
  <c r="G6" i="2"/>
  <c r="K6" i="2"/>
  <c r="G63" i="1"/>
  <c r="K63" i="1"/>
  <c r="G62" i="1"/>
  <c r="K62" i="1"/>
  <c r="G61" i="1"/>
  <c r="K61" i="1"/>
  <c r="G60" i="1"/>
  <c r="K60" i="1"/>
  <c r="G59" i="1"/>
  <c r="K59" i="1"/>
  <c r="G58" i="1"/>
  <c r="K58" i="1"/>
  <c r="G57" i="1"/>
  <c r="K57" i="1"/>
  <c r="G56" i="1"/>
  <c r="K56" i="1"/>
  <c r="G55" i="1"/>
  <c r="K55" i="1"/>
  <c r="H52" i="1"/>
  <c r="G47" i="1"/>
  <c r="K47" i="1"/>
  <c r="G45" i="1"/>
  <c r="K45" i="1"/>
  <c r="G43" i="1"/>
  <c r="K43" i="1"/>
  <c r="G41" i="1"/>
  <c r="K41" i="1"/>
  <c r="G40" i="1"/>
  <c r="K40" i="1"/>
  <c r="G39" i="1"/>
  <c r="K39" i="1"/>
  <c r="G38" i="1"/>
  <c r="K38" i="1"/>
  <c r="G37" i="1"/>
  <c r="K37" i="1"/>
  <c r="G36" i="1"/>
  <c r="K36" i="1"/>
  <c r="G35" i="1"/>
  <c r="K35" i="1"/>
  <c r="G34" i="1"/>
  <c r="K34" i="1"/>
  <c r="G31" i="1"/>
  <c r="K31" i="1"/>
  <c r="G30" i="1"/>
  <c r="K30" i="1"/>
  <c r="G29" i="1"/>
  <c r="K29" i="1"/>
  <c r="G28" i="1"/>
  <c r="K28" i="1"/>
  <c r="G27" i="1"/>
  <c r="K27" i="1"/>
  <c r="G26" i="1"/>
  <c r="K26" i="1"/>
  <c r="G25" i="1"/>
  <c r="K25" i="1"/>
  <c r="G24" i="1"/>
  <c r="K24" i="1"/>
  <c r="G22" i="1"/>
  <c r="K22" i="1"/>
  <c r="G21" i="1"/>
  <c r="K21" i="1"/>
  <c r="G20" i="1"/>
  <c r="K20" i="1"/>
  <c r="G19" i="1"/>
  <c r="K19" i="1"/>
  <c r="G18" i="1"/>
  <c r="K18" i="1"/>
  <c r="G17" i="1"/>
  <c r="K17" i="1"/>
  <c r="G16" i="1"/>
  <c r="K16" i="1"/>
  <c r="G15" i="1"/>
  <c r="K15" i="1"/>
  <c r="G13" i="1"/>
  <c r="K13" i="1"/>
  <c r="W2" i="1"/>
  <c r="W3" i="1"/>
  <c r="W4" i="1"/>
  <c r="W5" i="1"/>
  <c r="W6" i="1"/>
  <c r="W7" i="1"/>
  <c r="W8" i="1"/>
  <c r="W9" i="1"/>
  <c r="W10" i="1"/>
  <c r="W12" i="1"/>
  <c r="V2" i="1"/>
  <c r="V3" i="1"/>
  <c r="V4" i="1"/>
  <c r="V5" i="1"/>
  <c r="V7" i="1"/>
  <c r="V8" i="1"/>
  <c r="V9" i="1"/>
  <c r="V10" i="1"/>
  <c r="V12" i="1"/>
  <c r="U2" i="1"/>
  <c r="U3" i="1"/>
  <c r="U4" i="1"/>
  <c r="U5" i="1"/>
  <c r="U7" i="1"/>
  <c r="U8" i="1"/>
  <c r="U9" i="1"/>
  <c r="U10" i="1"/>
  <c r="U12" i="1"/>
  <c r="R12" i="1"/>
  <c r="Q12" i="1"/>
  <c r="P12" i="1"/>
  <c r="O12" i="1"/>
  <c r="G12" i="1"/>
  <c r="K12" i="1"/>
  <c r="G11" i="1"/>
  <c r="K11" i="1"/>
  <c r="G10" i="1"/>
  <c r="K10" i="1"/>
  <c r="G9" i="1"/>
  <c r="K9" i="1"/>
  <c r="G8" i="1"/>
  <c r="K8" i="1"/>
  <c r="G7" i="1"/>
  <c r="K7" i="1"/>
  <c r="G6" i="1"/>
  <c r="K6" i="1"/>
</calcChain>
</file>

<file path=xl/sharedStrings.xml><?xml version="1.0" encoding="utf-8"?>
<sst xmlns="http://schemas.openxmlformats.org/spreadsheetml/2006/main" count="1393" uniqueCount="294">
  <si>
    <t>S#</t>
  </si>
  <si>
    <t>Animal</t>
  </si>
  <si>
    <t>Contents</t>
  </si>
  <si>
    <t>CPMA</t>
  </si>
  <si>
    <t>CPMB</t>
  </si>
  <si>
    <t>DPM1</t>
  </si>
  <si>
    <t>Minus blank</t>
  </si>
  <si>
    <t>Volume</t>
  </si>
  <si>
    <t>SIS</t>
  </si>
  <si>
    <t>tSIE</t>
  </si>
  <si>
    <t>DPM per ul</t>
  </si>
  <si>
    <t>Time</t>
  </si>
  <si>
    <t>Brain</t>
  </si>
  <si>
    <t>Plasma</t>
  </si>
  <si>
    <t>CSF</t>
  </si>
  <si>
    <t>AF</t>
  </si>
  <si>
    <t>Injectate</t>
  </si>
  <si>
    <t>Brain/plasma</t>
  </si>
  <si>
    <t>CSF/plasma</t>
  </si>
  <si>
    <t>Plasma/injectate</t>
  </si>
  <si>
    <t>Plasma blank</t>
  </si>
  <si>
    <t>RA616</t>
  </si>
  <si>
    <t>CSF blank</t>
  </si>
  <si>
    <t>RA617</t>
  </si>
  <si>
    <t>Scintillant blank</t>
  </si>
  <si>
    <t>RA618</t>
  </si>
  <si>
    <t>Missing vial 4.</t>
  </si>
  <si>
    <t>RA619</t>
  </si>
  <si>
    <t>RA620</t>
  </si>
  <si>
    <t>RA621</t>
  </si>
  <si>
    <t>RA622</t>
  </si>
  <si>
    <t>RA623</t>
  </si>
  <si>
    <t>RA626</t>
  </si>
  <si>
    <t>Average</t>
  </si>
  <si>
    <t>Missing vial 13.</t>
  </si>
  <si>
    <t>Plasma/plasma</t>
  </si>
  <si>
    <t>RA615</t>
  </si>
  <si>
    <t>Missing vial 22.</t>
  </si>
  <si>
    <t>Missing vial 31.</t>
  </si>
  <si>
    <t>Missing vial 32.</t>
  </si>
  <si>
    <t>P1</t>
  </si>
  <si>
    <t>P2</t>
  </si>
  <si>
    <t>P3</t>
  </si>
  <si>
    <t>P4</t>
  </si>
  <si>
    <t>P5</t>
  </si>
  <si>
    <t>P6</t>
  </si>
  <si>
    <t>P7</t>
  </si>
  <si>
    <t>P8</t>
  </si>
  <si>
    <t>Missing vial 41.</t>
  </si>
  <si>
    <t xml:space="preserve">RA615 </t>
  </si>
  <si>
    <t>Missing vial 43.</t>
  </si>
  <si>
    <t>Injectate 1/10</t>
  </si>
  <si>
    <t>Missing vial 45.</t>
  </si>
  <si>
    <t>P9</t>
  </si>
  <si>
    <t>Missing vial 47.</t>
  </si>
  <si>
    <t>Missing vial 48.</t>
  </si>
  <si>
    <t>Brain blank</t>
  </si>
  <si>
    <t>Missing vial 53.</t>
  </si>
  <si>
    <t>Brain 2</t>
  </si>
  <si>
    <t>Brain 1</t>
  </si>
  <si>
    <t>RA851</t>
  </si>
  <si>
    <t>RA852</t>
  </si>
  <si>
    <t>RA853</t>
  </si>
  <si>
    <t>RA854</t>
  </si>
  <si>
    <t>RA855</t>
  </si>
  <si>
    <t>RA856</t>
  </si>
  <si>
    <t>RA857</t>
  </si>
  <si>
    <t>RA858</t>
  </si>
  <si>
    <t>Missing vial 30.</t>
  </si>
  <si>
    <t>RA850</t>
  </si>
  <si>
    <t>P10</t>
  </si>
  <si>
    <t>P11</t>
  </si>
  <si>
    <t>RA851-858</t>
  </si>
  <si>
    <t>Brain 3</t>
  </si>
  <si>
    <t>Brain 4</t>
  </si>
  <si>
    <t>Brain 5</t>
  </si>
  <si>
    <t>Brain 6</t>
  </si>
  <si>
    <t>Brain 7</t>
  </si>
  <si>
    <t>Brain 8</t>
  </si>
  <si>
    <t>%</t>
  </si>
  <si>
    <t>AF/plasma</t>
  </si>
  <si>
    <t>-</t>
  </si>
  <si>
    <t>recounted</t>
  </si>
  <si>
    <t>Missing vial 2.</t>
  </si>
  <si>
    <t>Plasma 1</t>
  </si>
  <si>
    <t>Plasma 2</t>
  </si>
  <si>
    <t>Plasma 3</t>
  </si>
  <si>
    <t>Plasma 4</t>
  </si>
  <si>
    <t>Plasma 5</t>
  </si>
  <si>
    <t>Plasma 6</t>
  </si>
  <si>
    <t>Plasma 7</t>
  </si>
  <si>
    <t>Plasma 8</t>
  </si>
  <si>
    <t>Plasma 9</t>
  </si>
  <si>
    <t>Plasma 10</t>
  </si>
  <si>
    <t>Plasma 11</t>
  </si>
  <si>
    <t>RERUN</t>
  </si>
  <si>
    <t xml:space="preserve">Animal </t>
  </si>
  <si>
    <t>RA605</t>
  </si>
  <si>
    <t>RA606</t>
  </si>
  <si>
    <t>RA607</t>
  </si>
  <si>
    <t>RA608</t>
  </si>
  <si>
    <t>RA609</t>
  </si>
  <si>
    <t>RA613</t>
  </si>
  <si>
    <t>Missing vial 7.</t>
  </si>
  <si>
    <t>RA596</t>
  </si>
  <si>
    <t>Missing vial 14.</t>
  </si>
  <si>
    <t>Missing vial 21.</t>
  </si>
  <si>
    <t>Missing vial 23.</t>
  </si>
  <si>
    <t>plasma blank</t>
  </si>
  <si>
    <t>scintillant blank</t>
  </si>
  <si>
    <t>Missing vial 5.</t>
  </si>
  <si>
    <t>Missing vial 3.</t>
  </si>
  <si>
    <t>RA862</t>
  </si>
  <si>
    <t>RA863</t>
  </si>
  <si>
    <t>RA864</t>
  </si>
  <si>
    <t>RA865</t>
  </si>
  <si>
    <t>RA866</t>
  </si>
  <si>
    <t>RA867</t>
  </si>
  <si>
    <t>RA868</t>
  </si>
  <si>
    <t>RA869</t>
  </si>
  <si>
    <t>RA870</t>
  </si>
  <si>
    <t>RA871</t>
  </si>
  <si>
    <t>Missing vial 17.</t>
  </si>
  <si>
    <t>Missing vial 19.</t>
  </si>
  <si>
    <t>Missing vial 27.</t>
  </si>
  <si>
    <t>Missing vial 38.</t>
  </si>
  <si>
    <t>Missing vial 39.</t>
  </si>
  <si>
    <t>RA861</t>
  </si>
  <si>
    <t>Missing vial 56.</t>
  </si>
  <si>
    <t>Missing vial 57.</t>
  </si>
  <si>
    <t>Missing vial 68.</t>
  </si>
  <si>
    <t>Missing vial 71.</t>
  </si>
  <si>
    <t>Brain/Plasma</t>
  </si>
  <si>
    <t>Pups/mum</t>
  </si>
  <si>
    <t>33</t>
  </si>
  <si>
    <t>43</t>
  </si>
  <si>
    <t>53</t>
  </si>
  <si>
    <t>66</t>
  </si>
  <si>
    <t>76</t>
  </si>
  <si>
    <t>86</t>
  </si>
  <si>
    <t>99</t>
  </si>
  <si>
    <t>116</t>
  </si>
  <si>
    <t>135</t>
  </si>
  <si>
    <t>153</t>
  </si>
  <si>
    <t>13</t>
  </si>
  <si>
    <t>56</t>
  </si>
  <si>
    <t>64</t>
  </si>
  <si>
    <t>74</t>
  </si>
  <si>
    <t>84</t>
  </si>
  <si>
    <t>97</t>
  </si>
  <si>
    <t>113</t>
  </si>
  <si>
    <t>129</t>
  </si>
  <si>
    <t>152</t>
  </si>
  <si>
    <t>175</t>
  </si>
  <si>
    <t>180</t>
  </si>
  <si>
    <t>Time after inj</t>
  </si>
  <si>
    <t>RA741</t>
  </si>
  <si>
    <t>RA742</t>
  </si>
  <si>
    <t>RA743</t>
  </si>
  <si>
    <t>RA744</t>
  </si>
  <si>
    <t>RA745</t>
  </si>
  <si>
    <t>RA746</t>
  </si>
  <si>
    <t>RA747</t>
  </si>
  <si>
    <t>Missing vial 20.</t>
  </si>
  <si>
    <t>RA740</t>
  </si>
  <si>
    <t>Missing vial 28.</t>
  </si>
  <si>
    <t>Missing vial 35.</t>
  </si>
  <si>
    <t>Missing vial 37.</t>
  </si>
  <si>
    <t>RA741-746</t>
  </si>
  <si>
    <t>Missing vial 11.</t>
  </si>
  <si>
    <t>Time from</t>
  </si>
  <si>
    <t>First pup inj</t>
  </si>
  <si>
    <t>Own inj</t>
  </si>
  <si>
    <t>hard to inject, not sure if went in</t>
  </si>
  <si>
    <t>control - no injection</t>
  </si>
  <si>
    <t>Mean</t>
  </si>
  <si>
    <t>Mum/pups</t>
  </si>
  <si>
    <t>Missing vial 10.</t>
  </si>
  <si>
    <t>Missing vial 16.</t>
  </si>
  <si>
    <t>Missing vial 18.</t>
  </si>
  <si>
    <t>RA886</t>
  </si>
  <si>
    <t>RA887</t>
  </si>
  <si>
    <t>RA888</t>
  </si>
  <si>
    <t>RA889</t>
  </si>
  <si>
    <t>Time after first inj</t>
  </si>
  <si>
    <t>RA629</t>
  </si>
  <si>
    <t>RA630</t>
  </si>
  <si>
    <t>RA631</t>
  </si>
  <si>
    <t>RA632</t>
  </si>
  <si>
    <t>RA633</t>
  </si>
  <si>
    <t>RA639</t>
  </si>
  <si>
    <t>RA629-633, 639</t>
  </si>
  <si>
    <t>RA627</t>
  </si>
  <si>
    <t>RA628</t>
  </si>
  <si>
    <t>RA640</t>
  </si>
  <si>
    <t>RA641</t>
  </si>
  <si>
    <t>RA642</t>
  </si>
  <si>
    <t>RA643</t>
  </si>
  <si>
    <t xml:space="preserve">Plasma </t>
  </si>
  <si>
    <t>RA644</t>
  </si>
  <si>
    <t>RA640-644</t>
  </si>
  <si>
    <t>mum/pup</t>
  </si>
  <si>
    <t>RA724</t>
  </si>
  <si>
    <t>RA725</t>
  </si>
  <si>
    <t>RA726</t>
  </si>
  <si>
    <t>RA727</t>
  </si>
  <si>
    <t>Missing vial 15.</t>
  </si>
  <si>
    <t>RA723</t>
  </si>
  <si>
    <t>Missing vial 25.</t>
  </si>
  <si>
    <t>RA724-727</t>
  </si>
  <si>
    <t>Pups</t>
  </si>
  <si>
    <t>RA752</t>
  </si>
  <si>
    <t>RA753</t>
  </si>
  <si>
    <t>RA754</t>
  </si>
  <si>
    <t>RA755</t>
  </si>
  <si>
    <t>RA756</t>
  </si>
  <si>
    <t>RA757</t>
  </si>
  <si>
    <t>RA758</t>
  </si>
  <si>
    <t>Mum</t>
  </si>
  <si>
    <t>RA751</t>
  </si>
  <si>
    <t>Missing vial 29.</t>
  </si>
  <si>
    <t>RA752-757</t>
  </si>
  <si>
    <t xml:space="preserve"> DPM per ul</t>
  </si>
  <si>
    <t>Time of inj</t>
  </si>
  <si>
    <t>30 minutes</t>
  </si>
  <si>
    <t>RA379</t>
  </si>
  <si>
    <t>RA380</t>
  </si>
  <si>
    <t>RA381</t>
  </si>
  <si>
    <t>RA382</t>
  </si>
  <si>
    <t>RA383</t>
  </si>
  <si>
    <t>5 minutes</t>
  </si>
  <si>
    <t>RA384</t>
  </si>
  <si>
    <t>RA385</t>
  </si>
  <si>
    <t>Average (30min)</t>
  </si>
  <si>
    <t>SD (30min)</t>
  </si>
  <si>
    <t>RA379-385</t>
  </si>
  <si>
    <t>Control</t>
  </si>
  <si>
    <t>Chronic high dose paracetamol</t>
  </si>
  <si>
    <t>PUPS</t>
  </si>
  <si>
    <t>time match</t>
  </si>
  <si>
    <t>average mum</t>
  </si>
  <si>
    <t>F</t>
  </si>
  <si>
    <t>M</t>
  </si>
  <si>
    <t>?</t>
  </si>
  <si>
    <t>MUM</t>
  </si>
  <si>
    <t>#</t>
  </si>
  <si>
    <t>Chronic high dose 1</t>
  </si>
  <si>
    <t xml:space="preserve">Chronic low dose </t>
  </si>
  <si>
    <t>Chronic high dose 2</t>
  </si>
  <si>
    <t>Inj Time</t>
  </si>
  <si>
    <t>Maternal/fetal ratio</t>
  </si>
  <si>
    <t>Collect time</t>
  </si>
  <si>
    <t>RA873 P1</t>
  </si>
  <si>
    <t>RA740 1</t>
  </si>
  <si>
    <t>RA873 P2</t>
  </si>
  <si>
    <t>RA740 2</t>
  </si>
  <si>
    <t>RA751 1</t>
  </si>
  <si>
    <t>RA873 P3</t>
  </si>
  <si>
    <t>RA740 3</t>
  </si>
  <si>
    <t>RA751 2</t>
  </si>
  <si>
    <t>RA873 P4</t>
  </si>
  <si>
    <t>RA740 4</t>
  </si>
  <si>
    <t>RA751 3</t>
  </si>
  <si>
    <t>RA850 1</t>
  </si>
  <si>
    <t>RA873 P5</t>
  </si>
  <si>
    <t>RA740 5</t>
  </si>
  <si>
    <t>RA751 4</t>
  </si>
  <si>
    <t>RA850 2</t>
  </si>
  <si>
    <t>RA873 P6</t>
  </si>
  <si>
    <t>RA740 6</t>
  </si>
  <si>
    <t>RA751 5</t>
  </si>
  <si>
    <t>RA850 3</t>
  </si>
  <si>
    <t>RA873 P7</t>
  </si>
  <si>
    <t>RA751 6</t>
  </si>
  <si>
    <t>RA850 4</t>
  </si>
  <si>
    <t>RA873 P8</t>
  </si>
  <si>
    <t>RA751 7</t>
  </si>
  <si>
    <t>RA850 5</t>
  </si>
  <si>
    <t>RA873 P9</t>
  </si>
  <si>
    <t>RA850 6</t>
  </si>
  <si>
    <t>RA873 P10</t>
  </si>
  <si>
    <t>RA850 7</t>
  </si>
  <si>
    <t>RA873 P11</t>
  </si>
  <si>
    <t>RA850 8</t>
  </si>
  <si>
    <t>RA850 9</t>
  </si>
  <si>
    <t>RA850 10</t>
  </si>
  <si>
    <t>RA850 11</t>
  </si>
  <si>
    <t>average of the two maternal plasma runs</t>
  </si>
  <si>
    <t>ONLY USED RUN 2</t>
  </si>
  <si>
    <t>pups</t>
  </si>
  <si>
    <t>mum</t>
  </si>
  <si>
    <t>RECOUNTED 40ul VOL SAMPLES</t>
  </si>
  <si>
    <t>recounted using 40ul vol samples</t>
  </si>
  <si>
    <t>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</si>
</sst>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3" fillId="0" borderId="0" xfId="0" applyFont="1"/>
    <xf numFmtId="164" fontId="0" fillId="0" borderId="0" xfId="0" applyNumberFormat="1"/>
    <xf numFmtId="165" fontId="0" fillId="0" borderId="0" xfId="1" applyNumberFormat="1" applyFont="1"/>
    <xf numFmtId="10" fontId="0" fillId="0" borderId="0" xfId="1" applyNumberFormat="1" applyFont="1"/>
    <xf numFmtId="0" fontId="2" fillId="0" borderId="0" xfId="0" applyFont="1"/>
    <xf numFmtId="0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5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left"/>
    </xf>
    <xf numFmtId="2" fontId="0" fillId="0" borderId="0" xfId="0" applyNumberFormat="1"/>
    <xf numFmtId="0" fontId="7" fillId="0" borderId="0" xfId="0" applyFont="1"/>
    <xf numFmtId="0" fontId="0" fillId="0" borderId="0" xfId="0" applyAlignment="1"/>
    <xf numFmtId="21" fontId="0" fillId="0" borderId="0" xfId="0" applyNumberFormat="1"/>
    <xf numFmtId="19" fontId="0" fillId="0" borderId="0" xfId="0" applyNumberFormat="1"/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0" fontId="2" fillId="0" borderId="0" xfId="0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2" fontId="3" fillId="0" borderId="0" xfId="0" applyNumberFormat="1" applyFont="1"/>
    <xf numFmtId="21" fontId="3" fillId="0" borderId="0" xfId="0" applyNumberFormat="1" applyFont="1"/>
    <xf numFmtId="19" fontId="3" fillId="0" borderId="0" xfId="0" applyNumberFormat="1" applyFont="1"/>
    <xf numFmtId="19" fontId="0" fillId="0" borderId="0" xfId="0" applyNumberFormat="1" applyAlignment="1">
      <alignment horizontal="center"/>
    </xf>
    <xf numFmtId="164" fontId="2" fillId="0" borderId="0" xfId="0" applyNumberFormat="1" applyFont="1"/>
    <xf numFmtId="165" fontId="2" fillId="0" borderId="0" xfId="1" applyNumberFormat="1" applyFont="1"/>
    <xf numFmtId="165" fontId="3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0" fontId="3" fillId="0" borderId="0" xfId="0" applyNumberFormat="1" applyFont="1"/>
    <xf numFmtId="10" fontId="2" fillId="0" borderId="0" xfId="1" applyNumberFormat="1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65" fontId="2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/>
    <xf numFmtId="2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192C-6D66-EB4E-9EF6-C837675A318C}">
  <dimension ref="A1:Z80"/>
  <sheetViews>
    <sheetView zoomScale="180" zoomScaleNormal="180" workbookViewId="0">
      <selection activeCell="O37" sqref="O37"/>
    </sheetView>
  </sheetViews>
  <sheetFormatPr baseColWidth="10" defaultRowHeight="16" x14ac:dyDescent="0.2"/>
  <cols>
    <col min="2" max="2" width="10.83203125" style="13"/>
    <col min="3" max="3" width="14.1640625" style="13" bestFit="1" customWidth="1"/>
    <col min="4" max="10" width="10.83203125" style="13"/>
    <col min="11" max="11" width="12.6640625" style="14" bestFit="1" customWidth="1"/>
  </cols>
  <sheetData>
    <row r="1" spans="1:26" x14ac:dyDescent="0.2">
      <c r="A1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4" t="s">
        <v>10</v>
      </c>
      <c r="M1" s="12"/>
      <c r="N1" s="12"/>
      <c r="O1" s="12"/>
      <c r="P1" s="12" t="s">
        <v>10</v>
      </c>
      <c r="Q1" s="12"/>
      <c r="R1" s="12"/>
      <c r="S1" s="12"/>
      <c r="T1" s="12"/>
      <c r="U1" s="12"/>
      <c r="V1" s="12" t="s">
        <v>79</v>
      </c>
      <c r="W1" s="12"/>
      <c r="X1" s="12"/>
      <c r="Y1" s="12"/>
      <c r="Z1" s="12"/>
    </row>
    <row r="2" spans="1:26" x14ac:dyDescent="0.2">
      <c r="A2">
        <v>1</v>
      </c>
      <c r="C2" s="13" t="s">
        <v>20</v>
      </c>
      <c r="D2" s="13">
        <v>20</v>
      </c>
      <c r="E2" s="13">
        <v>18</v>
      </c>
      <c r="F2" s="13">
        <v>21</v>
      </c>
      <c r="I2" s="13">
        <v>628.28</v>
      </c>
      <c r="J2" s="13">
        <v>411.93</v>
      </c>
      <c r="M2" s="12" t="s">
        <v>11</v>
      </c>
      <c r="N2" s="12" t="s">
        <v>1</v>
      </c>
      <c r="O2" s="12" t="s">
        <v>12</v>
      </c>
      <c r="P2" s="12" t="s">
        <v>14</v>
      </c>
      <c r="Q2" s="12" t="s">
        <v>13</v>
      </c>
      <c r="R2" s="12" t="s">
        <v>15</v>
      </c>
      <c r="S2" s="12" t="s">
        <v>16</v>
      </c>
      <c r="T2" s="12"/>
      <c r="U2" s="12" t="s">
        <v>17</v>
      </c>
      <c r="V2" s="12" t="s">
        <v>18</v>
      </c>
      <c r="W2" s="12" t="s">
        <v>19</v>
      </c>
      <c r="X2" s="12"/>
      <c r="Y2" s="12" t="s">
        <v>80</v>
      </c>
      <c r="Z2" s="12"/>
    </row>
    <row r="3" spans="1:26" x14ac:dyDescent="0.2">
      <c r="A3">
        <v>2</v>
      </c>
      <c r="C3" s="13" t="s">
        <v>22</v>
      </c>
      <c r="D3" s="13">
        <v>20</v>
      </c>
      <c r="E3" s="13">
        <v>17</v>
      </c>
      <c r="F3" s="13">
        <v>21</v>
      </c>
      <c r="I3" s="13">
        <v>626.30999999999995</v>
      </c>
      <c r="J3" s="13">
        <v>417.85</v>
      </c>
      <c r="M3" s="13">
        <v>30</v>
      </c>
      <c r="N3" s="13" t="s">
        <v>60</v>
      </c>
      <c r="O3" s="14">
        <v>27.533333333333335</v>
      </c>
      <c r="P3" s="14">
        <v>30.09009009009009</v>
      </c>
      <c r="Q3" s="14">
        <v>275.89999999999998</v>
      </c>
      <c r="R3" s="14">
        <v>29.1</v>
      </c>
      <c r="S3" s="14">
        <v>57530</v>
      </c>
      <c r="T3" s="13"/>
      <c r="U3" s="15">
        <f>O3/Q3</f>
        <v>9.9794611574241895E-2</v>
      </c>
      <c r="V3" s="15">
        <f>P3/Q3</f>
        <v>0.10906158060924281</v>
      </c>
      <c r="W3" s="15">
        <f>Q3/57530</f>
        <v>4.7957587345732657E-3</v>
      </c>
      <c r="X3" s="15"/>
      <c r="Y3" s="15">
        <f>R3/Q3</f>
        <v>0.10547299746284887</v>
      </c>
      <c r="Z3" s="13"/>
    </row>
    <row r="4" spans="1:26" x14ac:dyDescent="0.2">
      <c r="A4">
        <v>3</v>
      </c>
      <c r="C4" s="13" t="s">
        <v>24</v>
      </c>
      <c r="D4" s="13">
        <v>22</v>
      </c>
      <c r="E4" s="13">
        <v>20</v>
      </c>
      <c r="F4" s="13">
        <v>23</v>
      </c>
      <c r="I4" s="13">
        <v>614.78</v>
      </c>
      <c r="J4" s="13">
        <v>431.13</v>
      </c>
      <c r="M4" s="13">
        <v>45</v>
      </c>
      <c r="N4" s="13" t="s">
        <v>61</v>
      </c>
      <c r="O4" s="14">
        <v>18.238095238095237</v>
      </c>
      <c r="P4" s="14">
        <v>21.127819548872179</v>
      </c>
      <c r="Q4" s="14">
        <v>247.2</v>
      </c>
      <c r="R4" s="14">
        <v>24.3</v>
      </c>
      <c r="S4" s="14"/>
      <c r="T4" s="13"/>
      <c r="U4" s="15">
        <f t="shared" ref="U4:U10" si="0">O4/Q4</f>
        <v>7.377870241947912E-2</v>
      </c>
      <c r="V4" s="15">
        <f t="shared" ref="V4:V10" si="1">P4/Q4</f>
        <v>8.5468525683139882E-2</v>
      </c>
      <c r="W4" s="15">
        <f t="shared" ref="W4:W10" si="2">Q4/57530</f>
        <v>4.296888579871371E-3</v>
      </c>
      <c r="X4" s="15"/>
      <c r="Y4" s="15">
        <f t="shared" ref="Y4:Y10" si="3">R4/Q4</f>
        <v>9.830097087378642E-2</v>
      </c>
      <c r="Z4" s="13"/>
    </row>
    <row r="5" spans="1:26" x14ac:dyDescent="0.2">
      <c r="A5" t="s">
        <v>26</v>
      </c>
      <c r="M5" s="13">
        <v>60</v>
      </c>
      <c r="N5" s="13" t="s">
        <v>62</v>
      </c>
      <c r="O5" s="14">
        <v>29.670781893004115</v>
      </c>
      <c r="P5" s="14">
        <v>30.484848484848484</v>
      </c>
      <c r="Q5" s="14">
        <v>276.10000000000002</v>
      </c>
      <c r="R5" s="14">
        <v>2.6</v>
      </c>
      <c r="S5" s="14"/>
      <c r="T5" s="13"/>
      <c r="U5" s="15">
        <f t="shared" si="0"/>
        <v>0.107463896751192</v>
      </c>
      <c r="V5" s="15">
        <f t="shared" si="1"/>
        <v>0.11041234510991844</v>
      </c>
      <c r="W5" s="15">
        <f t="shared" si="2"/>
        <v>4.7992351816443599E-3</v>
      </c>
      <c r="X5" s="15"/>
      <c r="Y5" s="15">
        <f t="shared" si="3"/>
        <v>9.4168779427743574E-3</v>
      </c>
      <c r="Z5" s="13"/>
    </row>
    <row r="6" spans="1:26" x14ac:dyDescent="0.2">
      <c r="A6">
        <v>5</v>
      </c>
      <c r="B6" s="13" t="s">
        <v>60</v>
      </c>
      <c r="C6" s="13" t="s">
        <v>13</v>
      </c>
      <c r="D6" s="13">
        <v>2629</v>
      </c>
      <c r="E6" s="13">
        <v>2582</v>
      </c>
      <c r="F6" s="13">
        <v>2780</v>
      </c>
      <c r="G6" s="13">
        <f>F6-21</f>
        <v>2759</v>
      </c>
      <c r="H6" s="13">
        <v>10</v>
      </c>
      <c r="I6" s="13">
        <v>87.09</v>
      </c>
      <c r="J6" s="13">
        <v>451.72</v>
      </c>
      <c r="K6" s="14">
        <f>G6/H6</f>
        <v>275.89999999999998</v>
      </c>
      <c r="M6" s="13">
        <v>72</v>
      </c>
      <c r="N6" s="13" t="s">
        <v>63</v>
      </c>
      <c r="O6" s="14">
        <v>29.222222222222221</v>
      </c>
      <c r="P6" s="14">
        <v>20.944881889763781</v>
      </c>
      <c r="Q6" s="14">
        <v>284.8</v>
      </c>
      <c r="R6" s="14">
        <v>10.4</v>
      </c>
      <c r="S6" s="14"/>
      <c r="T6" s="13"/>
      <c r="U6" s="15">
        <f t="shared" si="0"/>
        <v>0.10260611735330835</v>
      </c>
      <c r="V6" s="15">
        <f t="shared" si="1"/>
        <v>7.3542422365743612E-2</v>
      </c>
      <c r="W6" s="15">
        <f t="shared" si="2"/>
        <v>4.9504606292369198E-3</v>
      </c>
      <c r="X6" s="15"/>
      <c r="Y6" s="15">
        <f t="shared" si="3"/>
        <v>3.6516853932584269E-2</v>
      </c>
      <c r="Z6" s="13"/>
    </row>
    <row r="7" spans="1:26" x14ac:dyDescent="0.2">
      <c r="A7">
        <v>6</v>
      </c>
      <c r="B7" s="13" t="s">
        <v>61</v>
      </c>
      <c r="C7" s="13" t="s">
        <v>13</v>
      </c>
      <c r="D7" s="13">
        <v>2357</v>
      </c>
      <c r="E7" s="13">
        <v>2319</v>
      </c>
      <c r="F7" s="13">
        <v>2493</v>
      </c>
      <c r="G7" s="13">
        <f t="shared" ref="G7:G12" si="4">F7-21</f>
        <v>2472</v>
      </c>
      <c r="H7" s="13">
        <v>10</v>
      </c>
      <c r="I7" s="13">
        <v>87.41</v>
      </c>
      <c r="J7" s="13">
        <v>450.41</v>
      </c>
      <c r="K7" s="14">
        <f t="shared" ref="K7:K13" si="5">G7/H7</f>
        <v>247.2</v>
      </c>
      <c r="M7" s="13">
        <v>89</v>
      </c>
      <c r="N7" s="13" t="s">
        <v>64</v>
      </c>
      <c r="O7" s="14">
        <v>18.129770992366414</v>
      </c>
      <c r="P7" s="14">
        <v>21.224489795918366</v>
      </c>
      <c r="Q7" s="14">
        <v>233</v>
      </c>
      <c r="R7" s="14">
        <v>6</v>
      </c>
      <c r="S7" s="14"/>
      <c r="T7" s="13"/>
      <c r="U7" s="15">
        <f t="shared" si="0"/>
        <v>7.781017593290307E-2</v>
      </c>
      <c r="V7" s="15">
        <f t="shared" si="1"/>
        <v>9.1092230883769817E-2</v>
      </c>
      <c r="W7" s="15">
        <f t="shared" si="2"/>
        <v>4.0500608378237438E-3</v>
      </c>
      <c r="X7" s="15"/>
      <c r="Y7" s="15">
        <f t="shared" si="3"/>
        <v>2.575107296137339E-2</v>
      </c>
      <c r="Z7" s="13"/>
    </row>
    <row r="8" spans="1:26" x14ac:dyDescent="0.2">
      <c r="A8">
        <v>7</v>
      </c>
      <c r="B8" s="13" t="s">
        <v>62</v>
      </c>
      <c r="C8" s="13" t="s">
        <v>13</v>
      </c>
      <c r="D8" s="13">
        <v>2631</v>
      </c>
      <c r="E8" s="13">
        <v>2587</v>
      </c>
      <c r="F8" s="13">
        <v>2782</v>
      </c>
      <c r="G8" s="13">
        <f t="shared" si="4"/>
        <v>2761</v>
      </c>
      <c r="H8" s="13">
        <v>10</v>
      </c>
      <c r="I8" s="13">
        <v>85.75</v>
      </c>
      <c r="J8" s="13">
        <v>452.49</v>
      </c>
      <c r="K8" s="14">
        <f t="shared" si="5"/>
        <v>276.10000000000002</v>
      </c>
      <c r="M8" s="13">
        <v>101</v>
      </c>
      <c r="N8" s="13" t="s">
        <v>65</v>
      </c>
      <c r="O8" s="14">
        <v>11.898734177215191</v>
      </c>
      <c r="P8" s="14">
        <v>12.877697841726619</v>
      </c>
      <c r="Q8" s="14">
        <v>129.1</v>
      </c>
      <c r="R8" s="14" t="s">
        <v>81</v>
      </c>
      <c r="S8" s="14"/>
      <c r="T8" s="13"/>
      <c r="U8" s="16">
        <f t="shared" si="0"/>
        <v>9.2166802302209069E-2</v>
      </c>
      <c r="V8" s="16">
        <f t="shared" si="1"/>
        <v>9.9749789633823541E-2</v>
      </c>
      <c r="W8" s="15">
        <f t="shared" si="2"/>
        <v>2.2440465843907523E-3</v>
      </c>
      <c r="X8" s="15"/>
      <c r="Y8" s="15" t="s">
        <v>81</v>
      </c>
      <c r="Z8" s="13"/>
    </row>
    <row r="9" spans="1:26" x14ac:dyDescent="0.2">
      <c r="A9">
        <v>8</v>
      </c>
      <c r="B9" s="13" t="s">
        <v>63</v>
      </c>
      <c r="C9" s="13" t="s">
        <v>13</v>
      </c>
      <c r="D9" s="13">
        <v>2712</v>
      </c>
      <c r="E9" s="13">
        <v>2662</v>
      </c>
      <c r="F9" s="13">
        <v>2869</v>
      </c>
      <c r="G9" s="13">
        <f t="shared" si="4"/>
        <v>2848</v>
      </c>
      <c r="H9" s="13">
        <v>10</v>
      </c>
      <c r="I9" s="13">
        <v>87.25</v>
      </c>
      <c r="J9" s="13">
        <v>450.13</v>
      </c>
      <c r="K9" s="14">
        <f t="shared" si="5"/>
        <v>284.8</v>
      </c>
      <c r="M9" s="13">
        <v>143</v>
      </c>
      <c r="N9" s="13" t="s">
        <v>66</v>
      </c>
      <c r="O9" s="14">
        <v>17.15909090909091</v>
      </c>
      <c r="P9" s="14">
        <v>21.296296296296294</v>
      </c>
      <c r="Q9" s="14">
        <v>247.9</v>
      </c>
      <c r="R9" s="14">
        <v>19.7</v>
      </c>
      <c r="S9" s="14"/>
      <c r="T9" s="13"/>
      <c r="U9" s="15">
        <f t="shared" si="0"/>
        <v>6.9217793098390115E-2</v>
      </c>
      <c r="V9" s="15">
        <f t="shared" si="1"/>
        <v>8.5906802324712761E-2</v>
      </c>
      <c r="W9" s="15">
        <f t="shared" si="2"/>
        <v>4.3090561446201981E-3</v>
      </c>
      <c r="X9" s="15"/>
      <c r="Y9" s="15">
        <f t="shared" si="3"/>
        <v>7.946752722872126E-2</v>
      </c>
      <c r="Z9" s="13"/>
    </row>
    <row r="10" spans="1:26" x14ac:dyDescent="0.2">
      <c r="A10">
        <v>9</v>
      </c>
      <c r="B10" s="13" t="s">
        <v>64</v>
      </c>
      <c r="C10" s="13" t="s">
        <v>13</v>
      </c>
      <c r="D10" s="13">
        <v>2222</v>
      </c>
      <c r="E10" s="13">
        <v>2186</v>
      </c>
      <c r="F10" s="13">
        <v>2351</v>
      </c>
      <c r="G10" s="13">
        <f t="shared" si="4"/>
        <v>2330</v>
      </c>
      <c r="H10" s="13">
        <v>10</v>
      </c>
      <c r="I10" s="13">
        <v>85.22</v>
      </c>
      <c r="J10" s="13">
        <v>449.31</v>
      </c>
      <c r="K10" s="14">
        <f t="shared" si="5"/>
        <v>233</v>
      </c>
      <c r="M10" s="13">
        <v>154</v>
      </c>
      <c r="N10" s="13" t="s">
        <v>67</v>
      </c>
      <c r="O10" s="14">
        <v>25.793103448275861</v>
      </c>
      <c r="P10" s="14">
        <v>19.646017699115042</v>
      </c>
      <c r="Q10" s="14">
        <v>275.60000000000002</v>
      </c>
      <c r="R10" s="14">
        <v>1.9</v>
      </c>
      <c r="S10" s="14"/>
      <c r="T10" s="13"/>
      <c r="U10" s="16">
        <f t="shared" si="0"/>
        <v>9.3588909463990774E-2</v>
      </c>
      <c r="V10" s="16">
        <f t="shared" si="1"/>
        <v>7.1284534467035698E-2</v>
      </c>
      <c r="W10" s="15">
        <f t="shared" si="2"/>
        <v>4.7905440639666261E-3</v>
      </c>
      <c r="X10" s="16"/>
      <c r="Y10" s="16">
        <f t="shared" si="3"/>
        <v>6.8940493468795348E-3</v>
      </c>
      <c r="Z10" s="13" t="s">
        <v>82</v>
      </c>
    </row>
    <row r="11" spans="1:26" x14ac:dyDescent="0.2">
      <c r="A11">
        <v>10</v>
      </c>
      <c r="B11" s="13" t="s">
        <v>65</v>
      </c>
      <c r="C11" s="13" t="s">
        <v>13</v>
      </c>
      <c r="D11" s="13">
        <v>1239</v>
      </c>
      <c r="E11" s="13">
        <v>1212</v>
      </c>
      <c r="F11" s="13">
        <v>1312</v>
      </c>
      <c r="G11" s="13">
        <f t="shared" si="4"/>
        <v>1291</v>
      </c>
      <c r="H11" s="13">
        <v>10</v>
      </c>
      <c r="I11" s="13">
        <v>94.14</v>
      </c>
      <c r="J11" s="13">
        <v>445.07</v>
      </c>
      <c r="K11" s="14">
        <f t="shared" si="5"/>
        <v>129.1</v>
      </c>
      <c r="M11" s="13"/>
      <c r="N11" s="13"/>
      <c r="O11" s="14"/>
      <c r="P11" s="14"/>
      <c r="Q11" s="14"/>
      <c r="R11" s="14"/>
      <c r="S11" s="14"/>
      <c r="T11" s="13"/>
      <c r="U11" s="13"/>
      <c r="V11" s="13"/>
      <c r="W11" s="13"/>
      <c r="X11" s="13"/>
      <c r="Y11" s="13"/>
      <c r="Z11" s="13"/>
    </row>
    <row r="12" spans="1:26" x14ac:dyDescent="0.2">
      <c r="A12">
        <v>11</v>
      </c>
      <c r="B12" s="13" t="s">
        <v>66</v>
      </c>
      <c r="C12" s="13" t="s">
        <v>13</v>
      </c>
      <c r="D12" s="13">
        <v>2362</v>
      </c>
      <c r="E12" s="13">
        <v>2320</v>
      </c>
      <c r="F12" s="13">
        <v>2500</v>
      </c>
      <c r="G12" s="13">
        <f t="shared" si="4"/>
        <v>2479</v>
      </c>
      <c r="H12" s="13">
        <v>10</v>
      </c>
      <c r="I12" s="13">
        <v>83.6</v>
      </c>
      <c r="J12" s="13">
        <v>447.23</v>
      </c>
      <c r="K12" s="14">
        <f t="shared" si="5"/>
        <v>247.9</v>
      </c>
      <c r="M12" s="13"/>
      <c r="N12" s="13"/>
      <c r="O12" s="14"/>
      <c r="P12" s="14"/>
      <c r="Q12" s="14"/>
      <c r="R12" s="14"/>
      <c r="S12" s="14"/>
      <c r="T12" s="13"/>
      <c r="U12" s="13"/>
      <c r="V12" s="13"/>
      <c r="W12" s="13"/>
      <c r="X12" s="13"/>
      <c r="Y12" s="13"/>
      <c r="Z12" s="13"/>
    </row>
    <row r="13" spans="1:26" x14ac:dyDescent="0.2">
      <c r="A13">
        <v>12</v>
      </c>
      <c r="B13" s="13" t="s">
        <v>67</v>
      </c>
      <c r="C13" s="13" t="s">
        <v>13</v>
      </c>
      <c r="D13" s="55">
        <v>2628</v>
      </c>
      <c r="E13" s="55">
        <v>2584</v>
      </c>
      <c r="F13" s="55">
        <v>2780</v>
      </c>
      <c r="G13" s="55">
        <f>F13-24</f>
        <v>2756</v>
      </c>
      <c r="H13" s="13">
        <v>10</v>
      </c>
      <c r="I13" s="13">
        <v>58.33</v>
      </c>
      <c r="J13" s="13">
        <v>35.4</v>
      </c>
      <c r="K13" s="14">
        <f t="shared" si="5"/>
        <v>275.60000000000002</v>
      </c>
      <c r="M13" s="13"/>
      <c r="N13" s="13" t="s">
        <v>69</v>
      </c>
      <c r="O13" s="14"/>
      <c r="P13" s="14"/>
      <c r="Q13" s="14"/>
      <c r="R13" s="14"/>
      <c r="S13" s="14"/>
      <c r="T13" s="13"/>
      <c r="U13" s="13"/>
      <c r="V13" s="13"/>
      <c r="W13" s="13"/>
      <c r="X13" s="13"/>
      <c r="Y13" s="13"/>
      <c r="Z13" s="13"/>
    </row>
    <row r="14" spans="1:26" x14ac:dyDescent="0.2">
      <c r="A14" t="s">
        <v>34</v>
      </c>
      <c r="M14" s="13">
        <v>3</v>
      </c>
      <c r="N14" s="13">
        <v>1</v>
      </c>
      <c r="O14" s="14"/>
      <c r="P14" s="14"/>
      <c r="Q14" s="17">
        <v>0</v>
      </c>
      <c r="R14" s="18" t="s">
        <v>292</v>
      </c>
      <c r="U14" s="13"/>
      <c r="V14" s="13"/>
      <c r="W14" s="13"/>
      <c r="X14" s="13"/>
      <c r="Y14" s="13"/>
      <c r="Z14" s="13"/>
    </row>
    <row r="15" spans="1:26" x14ac:dyDescent="0.2">
      <c r="A15">
        <v>14</v>
      </c>
      <c r="B15" s="13" t="s">
        <v>60</v>
      </c>
      <c r="C15" s="13" t="s">
        <v>14</v>
      </c>
      <c r="D15" s="13">
        <v>336</v>
      </c>
      <c r="E15" s="13">
        <v>329</v>
      </c>
      <c r="F15" s="13">
        <v>355</v>
      </c>
      <c r="G15" s="13">
        <f>F15-21</f>
        <v>334</v>
      </c>
      <c r="H15" s="13">
        <v>11.1</v>
      </c>
      <c r="I15" s="13">
        <v>105.85</v>
      </c>
      <c r="J15" s="13">
        <v>454.66</v>
      </c>
      <c r="K15" s="14">
        <f>G15/H15</f>
        <v>30.09009009009009</v>
      </c>
      <c r="M15" s="13">
        <v>17</v>
      </c>
      <c r="N15" s="13">
        <v>2</v>
      </c>
      <c r="O15" s="14"/>
      <c r="P15" s="14"/>
      <c r="Q15" s="17">
        <v>0.05</v>
      </c>
      <c r="R15" s="13"/>
      <c r="U15" s="13"/>
      <c r="V15" s="13"/>
      <c r="W15" s="13"/>
      <c r="X15" s="13"/>
      <c r="Y15" s="13"/>
      <c r="Z15" s="13"/>
    </row>
    <row r="16" spans="1:26" x14ac:dyDescent="0.2">
      <c r="A16">
        <v>15</v>
      </c>
      <c r="B16" s="13" t="s">
        <v>61</v>
      </c>
      <c r="C16" s="13" t="s">
        <v>14</v>
      </c>
      <c r="D16" s="13">
        <v>286</v>
      </c>
      <c r="E16" s="13">
        <v>279</v>
      </c>
      <c r="F16" s="13">
        <v>302</v>
      </c>
      <c r="G16" s="13">
        <f t="shared" ref="G16:G22" si="6">F16-21</f>
        <v>281</v>
      </c>
      <c r="H16" s="13">
        <v>13.3</v>
      </c>
      <c r="I16" s="13">
        <v>125.53</v>
      </c>
      <c r="J16" s="13">
        <v>457.44</v>
      </c>
      <c r="K16" s="14">
        <f t="shared" ref="K16:K22" si="7">G16/H16</f>
        <v>21.127819548872179</v>
      </c>
      <c r="M16" s="13">
        <v>27</v>
      </c>
      <c r="N16" s="13">
        <v>3</v>
      </c>
      <c r="O16" s="14"/>
      <c r="P16" s="14"/>
      <c r="Q16" s="17">
        <v>0.32500000000000001</v>
      </c>
      <c r="R16" s="13"/>
      <c r="U16" s="13"/>
      <c r="V16" s="13"/>
      <c r="W16" s="13"/>
      <c r="X16" s="13"/>
      <c r="Y16" s="13"/>
      <c r="Z16" s="13"/>
    </row>
    <row r="17" spans="1:26" x14ac:dyDescent="0.2">
      <c r="A17">
        <v>16</v>
      </c>
      <c r="B17" s="13" t="s">
        <v>62</v>
      </c>
      <c r="C17" s="13" t="s">
        <v>14</v>
      </c>
      <c r="D17" s="13">
        <v>495</v>
      </c>
      <c r="E17" s="13">
        <v>486</v>
      </c>
      <c r="F17" s="13">
        <v>524</v>
      </c>
      <c r="G17" s="13">
        <f t="shared" si="6"/>
        <v>503</v>
      </c>
      <c r="H17" s="13">
        <v>16.5</v>
      </c>
      <c r="I17" s="13">
        <v>116.71</v>
      </c>
      <c r="J17" s="13">
        <v>450.57</v>
      </c>
      <c r="K17" s="14">
        <f t="shared" si="7"/>
        <v>30.484848484848484</v>
      </c>
      <c r="M17" s="13">
        <v>69</v>
      </c>
      <c r="N17" s="13">
        <v>4</v>
      </c>
      <c r="O17" s="14"/>
      <c r="P17" s="14"/>
      <c r="Q17" s="17">
        <v>0.625</v>
      </c>
      <c r="R17" s="13"/>
      <c r="U17" s="13"/>
      <c r="V17" s="13"/>
      <c r="W17" s="13"/>
      <c r="X17" s="13"/>
      <c r="Y17" s="13"/>
      <c r="Z17" s="13"/>
    </row>
    <row r="18" spans="1:26" x14ac:dyDescent="0.2">
      <c r="A18">
        <v>17</v>
      </c>
      <c r="B18" s="13" t="s">
        <v>63</v>
      </c>
      <c r="C18" s="13" t="s">
        <v>14</v>
      </c>
      <c r="D18" s="13">
        <v>272</v>
      </c>
      <c r="E18" s="13">
        <v>265</v>
      </c>
      <c r="F18" s="13">
        <v>287</v>
      </c>
      <c r="G18" s="13">
        <f t="shared" si="6"/>
        <v>266</v>
      </c>
      <c r="H18" s="13">
        <v>12.7</v>
      </c>
      <c r="I18" s="13">
        <v>141.94999999999999</v>
      </c>
      <c r="J18" s="13">
        <v>452.14</v>
      </c>
      <c r="K18" s="14">
        <f t="shared" si="7"/>
        <v>20.944881889763781</v>
      </c>
      <c r="M18" s="13">
        <v>70</v>
      </c>
      <c r="N18" s="13">
        <v>5</v>
      </c>
      <c r="O18" s="14"/>
      <c r="P18" s="14"/>
      <c r="Q18" s="17">
        <v>1.2250000000000001</v>
      </c>
      <c r="R18" s="13"/>
      <c r="U18" s="13"/>
      <c r="V18" s="13"/>
      <c r="W18" s="13"/>
      <c r="X18" s="13"/>
      <c r="Y18" s="13"/>
      <c r="Z18" s="13"/>
    </row>
    <row r="19" spans="1:26" x14ac:dyDescent="0.2">
      <c r="A19">
        <v>18</v>
      </c>
      <c r="B19" s="13" t="s">
        <v>64</v>
      </c>
      <c r="C19" s="13" t="s">
        <v>14</v>
      </c>
      <c r="D19" s="13">
        <v>412</v>
      </c>
      <c r="E19" s="13">
        <v>403</v>
      </c>
      <c r="F19" s="13">
        <v>437</v>
      </c>
      <c r="G19" s="13">
        <f t="shared" si="6"/>
        <v>416</v>
      </c>
      <c r="H19" s="13">
        <v>19.600000000000001</v>
      </c>
      <c r="I19" s="13">
        <v>114.06</v>
      </c>
      <c r="J19" s="13">
        <v>443.72</v>
      </c>
      <c r="K19" s="14">
        <f t="shared" si="7"/>
        <v>21.224489795918366</v>
      </c>
      <c r="M19" s="13">
        <v>87</v>
      </c>
      <c r="N19" s="13">
        <v>6</v>
      </c>
      <c r="O19" s="14"/>
      <c r="P19" s="14"/>
      <c r="Q19" s="17">
        <v>1.425</v>
      </c>
      <c r="R19" s="13"/>
      <c r="U19" s="13"/>
      <c r="V19" s="13"/>
      <c r="W19" s="13"/>
      <c r="X19" s="13"/>
      <c r="Y19" s="13"/>
      <c r="Z19" s="13"/>
    </row>
    <row r="20" spans="1:26" x14ac:dyDescent="0.2">
      <c r="A20">
        <v>19</v>
      </c>
      <c r="B20" s="13" t="s">
        <v>65</v>
      </c>
      <c r="C20" s="13" t="s">
        <v>14</v>
      </c>
      <c r="D20" s="13">
        <v>189</v>
      </c>
      <c r="E20" s="13">
        <v>184</v>
      </c>
      <c r="F20" s="13">
        <v>200</v>
      </c>
      <c r="G20" s="13">
        <f t="shared" si="6"/>
        <v>179</v>
      </c>
      <c r="H20" s="13">
        <v>13.9</v>
      </c>
      <c r="I20" s="13">
        <v>161.69999999999999</v>
      </c>
      <c r="J20" s="13">
        <v>448.79</v>
      </c>
      <c r="K20" s="14">
        <f t="shared" si="7"/>
        <v>12.877697841726619</v>
      </c>
      <c r="M20" s="13">
        <v>88</v>
      </c>
      <c r="N20" s="13">
        <v>7</v>
      </c>
      <c r="O20" s="14"/>
      <c r="P20" s="14"/>
      <c r="Q20" s="17">
        <v>2.0499999999999998</v>
      </c>
      <c r="R20" s="13"/>
      <c r="U20" s="13"/>
      <c r="V20" s="13"/>
      <c r="W20" s="13"/>
      <c r="X20" s="13"/>
      <c r="Y20" s="13"/>
      <c r="Z20" s="13"/>
    </row>
    <row r="21" spans="1:26" x14ac:dyDescent="0.2">
      <c r="A21">
        <v>20</v>
      </c>
      <c r="B21" s="13" t="s">
        <v>66</v>
      </c>
      <c r="C21" s="13" t="s">
        <v>14</v>
      </c>
      <c r="D21" s="13">
        <v>128</v>
      </c>
      <c r="E21" s="13">
        <v>124</v>
      </c>
      <c r="F21" s="13">
        <v>136</v>
      </c>
      <c r="G21" s="13">
        <f t="shared" si="6"/>
        <v>115</v>
      </c>
      <c r="H21" s="13">
        <v>5.4</v>
      </c>
      <c r="I21" s="13">
        <v>186.26</v>
      </c>
      <c r="J21" s="13">
        <v>453.13</v>
      </c>
      <c r="K21" s="14">
        <f t="shared" si="7"/>
        <v>21.296296296296294</v>
      </c>
      <c r="M21" s="13">
        <v>99</v>
      </c>
      <c r="N21" s="13">
        <v>8</v>
      </c>
      <c r="O21" s="14"/>
      <c r="P21" s="14"/>
      <c r="Q21" s="17">
        <v>2.75</v>
      </c>
      <c r="R21" s="13"/>
      <c r="U21" s="13"/>
      <c r="V21" s="13"/>
      <c r="W21" s="13"/>
      <c r="X21" s="13"/>
      <c r="Y21" s="13"/>
      <c r="Z21" s="13"/>
    </row>
    <row r="22" spans="1:26" x14ac:dyDescent="0.2">
      <c r="A22">
        <v>21</v>
      </c>
      <c r="B22" s="13" t="s">
        <v>67</v>
      </c>
      <c r="C22" s="13" t="s">
        <v>14</v>
      </c>
      <c r="D22" s="13">
        <v>230</v>
      </c>
      <c r="E22" s="13">
        <v>223</v>
      </c>
      <c r="F22" s="13">
        <v>243</v>
      </c>
      <c r="G22" s="13">
        <f t="shared" si="6"/>
        <v>222</v>
      </c>
      <c r="H22" s="13">
        <v>11.3</v>
      </c>
      <c r="I22" s="13">
        <v>156.1</v>
      </c>
      <c r="J22" s="13">
        <v>455.23</v>
      </c>
      <c r="K22" s="14">
        <f t="shared" si="7"/>
        <v>19.646017699115042</v>
      </c>
      <c r="M22" s="13">
        <v>114</v>
      </c>
      <c r="N22" s="13">
        <v>9</v>
      </c>
      <c r="O22" s="14"/>
      <c r="P22" s="14"/>
      <c r="Q22" s="17">
        <v>3.45</v>
      </c>
      <c r="R22" s="13"/>
      <c r="U22" s="13"/>
      <c r="V22" s="13"/>
      <c r="W22" s="13"/>
      <c r="X22" s="13"/>
      <c r="Y22" s="13"/>
      <c r="Z22" s="13"/>
    </row>
    <row r="23" spans="1:26" x14ac:dyDescent="0.2">
      <c r="A23" t="s">
        <v>37</v>
      </c>
      <c r="M23" s="13">
        <v>150</v>
      </c>
      <c r="N23" s="13">
        <v>10</v>
      </c>
      <c r="O23" s="14"/>
      <c r="P23" s="14"/>
      <c r="Q23" s="17">
        <v>2.85</v>
      </c>
      <c r="R23" s="13"/>
      <c r="U23" s="13"/>
      <c r="V23" s="13"/>
      <c r="W23" s="13"/>
      <c r="X23" s="13"/>
      <c r="Y23" s="13"/>
      <c r="Z23" s="13"/>
    </row>
    <row r="24" spans="1:26" x14ac:dyDescent="0.2">
      <c r="A24">
        <v>23</v>
      </c>
      <c r="B24" s="13" t="s">
        <v>60</v>
      </c>
      <c r="C24" s="13" t="s">
        <v>15</v>
      </c>
      <c r="D24" s="13">
        <v>295</v>
      </c>
      <c r="E24" s="13">
        <v>289</v>
      </c>
      <c r="F24" s="13">
        <v>312</v>
      </c>
      <c r="G24" s="13">
        <f>F24-21</f>
        <v>291</v>
      </c>
      <c r="H24" s="13">
        <v>10</v>
      </c>
      <c r="I24" s="13">
        <v>121.86</v>
      </c>
      <c r="J24" s="13">
        <v>451.75</v>
      </c>
      <c r="K24" s="14">
        <f>G24/H24</f>
        <v>29.1</v>
      </c>
      <c r="M24" s="13">
        <v>180</v>
      </c>
      <c r="N24" s="13">
        <v>11</v>
      </c>
      <c r="O24" s="14"/>
      <c r="P24" s="14"/>
      <c r="Q24" s="17">
        <v>2.5750000000000002</v>
      </c>
      <c r="R24" s="13"/>
      <c r="U24" s="13"/>
      <c r="V24" s="13"/>
      <c r="W24" s="13"/>
      <c r="X24" s="13"/>
      <c r="Y24" s="13"/>
      <c r="Z24" s="13"/>
    </row>
    <row r="25" spans="1:26" x14ac:dyDescent="0.2">
      <c r="A25">
        <v>24</v>
      </c>
      <c r="B25" s="13" t="s">
        <v>61</v>
      </c>
      <c r="C25" s="13" t="s">
        <v>15</v>
      </c>
      <c r="D25" s="13">
        <v>250</v>
      </c>
      <c r="E25" s="13">
        <v>244</v>
      </c>
      <c r="F25" s="13">
        <v>264</v>
      </c>
      <c r="G25" s="13">
        <f t="shared" ref="G25:G30" si="8">F25-21</f>
        <v>243</v>
      </c>
      <c r="H25" s="13">
        <v>10</v>
      </c>
      <c r="I25" s="13">
        <v>126.94</v>
      </c>
      <c r="J25" s="13">
        <v>453.8</v>
      </c>
      <c r="K25" s="14">
        <f t="shared" ref="K25:K30" si="9">G25/H25</f>
        <v>24.3</v>
      </c>
    </row>
    <row r="26" spans="1:26" x14ac:dyDescent="0.2">
      <c r="A26">
        <v>25</v>
      </c>
      <c r="B26" s="13" t="s">
        <v>62</v>
      </c>
      <c r="C26" s="13" t="s">
        <v>15</v>
      </c>
      <c r="D26" s="13">
        <v>45</v>
      </c>
      <c r="E26" s="13">
        <v>43</v>
      </c>
      <c r="F26" s="13">
        <v>47</v>
      </c>
      <c r="G26" s="13">
        <f t="shared" si="8"/>
        <v>26</v>
      </c>
      <c r="H26" s="13">
        <v>10</v>
      </c>
      <c r="I26" s="13">
        <v>402.61</v>
      </c>
      <c r="J26" s="13">
        <v>462.54</v>
      </c>
      <c r="K26" s="14">
        <f t="shared" si="9"/>
        <v>2.6</v>
      </c>
    </row>
    <row r="27" spans="1:26" x14ac:dyDescent="0.2">
      <c r="A27">
        <v>26</v>
      </c>
      <c r="B27" s="13" t="s">
        <v>63</v>
      </c>
      <c r="C27" s="13" t="s">
        <v>15</v>
      </c>
      <c r="D27" s="13">
        <v>118</v>
      </c>
      <c r="E27" s="13">
        <v>113</v>
      </c>
      <c r="F27" s="13">
        <v>125</v>
      </c>
      <c r="G27" s="13">
        <f t="shared" si="8"/>
        <v>104</v>
      </c>
      <c r="H27" s="13">
        <v>10</v>
      </c>
      <c r="I27" s="13">
        <v>239.69</v>
      </c>
      <c r="J27" s="13">
        <v>456.74</v>
      </c>
      <c r="K27" s="14">
        <f t="shared" si="9"/>
        <v>10.4</v>
      </c>
    </row>
    <row r="28" spans="1:26" x14ac:dyDescent="0.2">
      <c r="A28">
        <v>27</v>
      </c>
      <c r="B28" s="13" t="s">
        <v>64</v>
      </c>
      <c r="C28" s="13" t="s">
        <v>15</v>
      </c>
      <c r="D28" s="13">
        <v>77</v>
      </c>
      <c r="E28" s="13">
        <v>73</v>
      </c>
      <c r="F28" s="13">
        <v>81</v>
      </c>
      <c r="G28" s="13">
        <f t="shared" si="8"/>
        <v>60</v>
      </c>
      <c r="H28" s="13">
        <v>10</v>
      </c>
      <c r="I28" s="13">
        <v>225.51</v>
      </c>
      <c r="J28" s="13">
        <v>461.64</v>
      </c>
      <c r="K28" s="14">
        <f t="shared" si="9"/>
        <v>6</v>
      </c>
    </row>
    <row r="29" spans="1:26" x14ac:dyDescent="0.2">
      <c r="A29">
        <v>28</v>
      </c>
      <c r="B29" s="13" t="s">
        <v>66</v>
      </c>
      <c r="C29" s="13" t="s">
        <v>15</v>
      </c>
      <c r="D29" s="13">
        <v>206</v>
      </c>
      <c r="E29" s="13">
        <v>201</v>
      </c>
      <c r="F29" s="13">
        <v>218</v>
      </c>
      <c r="G29" s="13">
        <f t="shared" si="8"/>
        <v>197</v>
      </c>
      <c r="H29" s="13">
        <v>10</v>
      </c>
      <c r="I29" s="13">
        <v>146.88999999999999</v>
      </c>
      <c r="J29" s="13">
        <v>460.58</v>
      </c>
      <c r="K29" s="14">
        <f t="shared" si="9"/>
        <v>19.7</v>
      </c>
    </row>
    <row r="30" spans="1:26" x14ac:dyDescent="0.2">
      <c r="A30">
        <v>29</v>
      </c>
      <c r="B30" s="13" t="s">
        <v>67</v>
      </c>
      <c r="C30" s="13" t="s">
        <v>15</v>
      </c>
      <c r="D30" s="13">
        <v>37</v>
      </c>
      <c r="E30" s="13">
        <v>36</v>
      </c>
      <c r="F30" s="13">
        <v>40</v>
      </c>
      <c r="G30" s="13">
        <f t="shared" si="8"/>
        <v>19</v>
      </c>
      <c r="H30" s="13">
        <v>10</v>
      </c>
      <c r="I30" s="13">
        <v>495.09</v>
      </c>
      <c r="J30" s="13">
        <v>455.11</v>
      </c>
      <c r="K30" s="14">
        <f t="shared" si="9"/>
        <v>1.9</v>
      </c>
    </row>
    <row r="31" spans="1:26" x14ac:dyDescent="0.2">
      <c r="A31" t="s">
        <v>68</v>
      </c>
    </row>
    <row r="32" spans="1:26" x14ac:dyDescent="0.2">
      <c r="A32" t="s">
        <v>38</v>
      </c>
    </row>
    <row r="33" spans="1:15" x14ac:dyDescent="0.2">
      <c r="A33" s="6">
        <v>32</v>
      </c>
      <c r="B33" s="35" t="s">
        <v>69</v>
      </c>
      <c r="C33" s="35" t="s">
        <v>40</v>
      </c>
      <c r="D33" s="35">
        <v>12</v>
      </c>
      <c r="E33" s="35">
        <v>11</v>
      </c>
      <c r="F33" s="35">
        <v>13</v>
      </c>
      <c r="G33" s="35">
        <f>F33-21</f>
        <v>-8</v>
      </c>
      <c r="H33" s="35">
        <v>10</v>
      </c>
      <c r="I33" s="35">
        <v>690.97</v>
      </c>
      <c r="J33" s="35">
        <v>451.44</v>
      </c>
      <c r="K33" s="36">
        <f>G33/H33</f>
        <v>-0.8</v>
      </c>
      <c r="L33" s="50" t="s">
        <v>291</v>
      </c>
      <c r="M33" s="50"/>
      <c r="N33" s="50"/>
      <c r="O33" s="50"/>
    </row>
    <row r="34" spans="1:15" x14ac:dyDescent="0.2">
      <c r="A34" s="6">
        <v>33</v>
      </c>
      <c r="B34" s="35" t="s">
        <v>69</v>
      </c>
      <c r="C34" s="35" t="s">
        <v>41</v>
      </c>
      <c r="D34" s="35">
        <v>21</v>
      </c>
      <c r="E34" s="35">
        <v>20</v>
      </c>
      <c r="F34" s="35">
        <v>22</v>
      </c>
      <c r="G34" s="35">
        <f t="shared" ref="G34:G43" si="10">F34-21</f>
        <v>1</v>
      </c>
      <c r="H34" s="35">
        <v>10</v>
      </c>
      <c r="I34" s="35">
        <v>817.61</v>
      </c>
      <c r="J34" s="35">
        <v>451.83</v>
      </c>
      <c r="K34" s="36">
        <f t="shared" ref="K34:K43" si="11">G34/H34</f>
        <v>0.1</v>
      </c>
    </row>
    <row r="35" spans="1:15" x14ac:dyDescent="0.2">
      <c r="A35" s="6">
        <v>34</v>
      </c>
      <c r="B35" s="35" t="s">
        <v>69</v>
      </c>
      <c r="C35" s="35" t="s">
        <v>42</v>
      </c>
      <c r="D35" s="35">
        <v>22</v>
      </c>
      <c r="E35" s="35">
        <v>20</v>
      </c>
      <c r="F35" s="35">
        <v>23</v>
      </c>
      <c r="G35" s="35">
        <f t="shared" si="10"/>
        <v>2</v>
      </c>
      <c r="H35" s="35">
        <v>10</v>
      </c>
      <c r="I35" s="35">
        <v>568.69000000000005</v>
      </c>
      <c r="J35" s="35">
        <v>447.45</v>
      </c>
      <c r="K35" s="36">
        <f t="shared" si="11"/>
        <v>0.2</v>
      </c>
    </row>
    <row r="36" spans="1:15" x14ac:dyDescent="0.2">
      <c r="A36" s="6">
        <v>35</v>
      </c>
      <c r="B36" s="35" t="s">
        <v>69</v>
      </c>
      <c r="C36" s="35" t="s">
        <v>43</v>
      </c>
      <c r="D36" s="35">
        <v>19</v>
      </c>
      <c r="E36" s="35">
        <v>17</v>
      </c>
      <c r="F36" s="35">
        <v>20</v>
      </c>
      <c r="G36" s="35">
        <f t="shared" si="10"/>
        <v>-1</v>
      </c>
      <c r="H36" s="35">
        <v>10</v>
      </c>
      <c r="I36" s="35">
        <v>730.26</v>
      </c>
      <c r="J36" s="35">
        <v>456.74</v>
      </c>
      <c r="K36" s="36">
        <f t="shared" si="11"/>
        <v>-0.1</v>
      </c>
    </row>
    <row r="37" spans="1:15" x14ac:dyDescent="0.2">
      <c r="A37" s="6">
        <v>36</v>
      </c>
      <c r="B37" s="35" t="s">
        <v>69</v>
      </c>
      <c r="C37" s="35" t="s">
        <v>44</v>
      </c>
      <c r="D37" s="35">
        <v>31</v>
      </c>
      <c r="E37" s="35">
        <v>30</v>
      </c>
      <c r="F37" s="35">
        <v>33</v>
      </c>
      <c r="G37" s="35">
        <f t="shared" si="10"/>
        <v>12</v>
      </c>
      <c r="H37" s="35">
        <v>10</v>
      </c>
      <c r="I37" s="35">
        <v>319.25</v>
      </c>
      <c r="J37" s="35">
        <v>456.85</v>
      </c>
      <c r="K37" s="36">
        <f t="shared" si="11"/>
        <v>1.2</v>
      </c>
    </row>
    <row r="38" spans="1:15" x14ac:dyDescent="0.2">
      <c r="A38" s="6">
        <v>37</v>
      </c>
      <c r="B38" s="35" t="s">
        <v>69</v>
      </c>
      <c r="C38" s="35" t="s">
        <v>45</v>
      </c>
      <c r="D38" s="35">
        <v>37</v>
      </c>
      <c r="E38" s="35">
        <v>34</v>
      </c>
      <c r="F38" s="35">
        <v>39</v>
      </c>
      <c r="G38" s="35">
        <f t="shared" si="10"/>
        <v>18</v>
      </c>
      <c r="H38" s="35">
        <v>10</v>
      </c>
      <c r="I38" s="35">
        <v>369.83</v>
      </c>
      <c r="J38" s="35">
        <v>457.36</v>
      </c>
      <c r="K38" s="36">
        <f t="shared" si="11"/>
        <v>1.8</v>
      </c>
    </row>
    <row r="39" spans="1:15" x14ac:dyDescent="0.2">
      <c r="A39" s="6">
        <v>38</v>
      </c>
      <c r="B39" s="35" t="s">
        <v>69</v>
      </c>
      <c r="C39" s="35" t="s">
        <v>46</v>
      </c>
      <c r="D39" s="35">
        <v>38</v>
      </c>
      <c r="E39" s="35">
        <v>37</v>
      </c>
      <c r="F39" s="35">
        <v>40</v>
      </c>
      <c r="G39" s="35">
        <f t="shared" si="10"/>
        <v>19</v>
      </c>
      <c r="H39" s="35">
        <v>10</v>
      </c>
      <c r="I39" s="35">
        <v>447.77</v>
      </c>
      <c r="J39" s="35">
        <v>456.11</v>
      </c>
      <c r="K39" s="36">
        <f t="shared" si="11"/>
        <v>1.9</v>
      </c>
    </row>
    <row r="40" spans="1:15" x14ac:dyDescent="0.2">
      <c r="A40" s="6">
        <v>39</v>
      </c>
      <c r="B40" s="35" t="s">
        <v>69</v>
      </c>
      <c r="C40" s="35" t="s">
        <v>47</v>
      </c>
      <c r="D40" s="35">
        <v>43</v>
      </c>
      <c r="E40" s="35">
        <v>41</v>
      </c>
      <c r="F40" s="35">
        <v>45</v>
      </c>
      <c r="G40" s="35">
        <f t="shared" si="10"/>
        <v>24</v>
      </c>
      <c r="H40" s="35">
        <v>10</v>
      </c>
      <c r="I40" s="35">
        <v>340.4</v>
      </c>
      <c r="J40" s="35">
        <v>458.75</v>
      </c>
      <c r="K40" s="36">
        <f t="shared" si="11"/>
        <v>2.4</v>
      </c>
    </row>
    <row r="41" spans="1:15" x14ac:dyDescent="0.2">
      <c r="A41" s="6">
        <v>40</v>
      </c>
      <c r="B41" s="35" t="s">
        <v>69</v>
      </c>
      <c r="C41" s="35" t="s">
        <v>53</v>
      </c>
      <c r="D41" s="35">
        <v>68</v>
      </c>
      <c r="E41" s="35">
        <v>66</v>
      </c>
      <c r="F41" s="35">
        <v>72</v>
      </c>
      <c r="G41" s="35">
        <f t="shared" si="10"/>
        <v>51</v>
      </c>
      <c r="H41" s="35">
        <v>10</v>
      </c>
      <c r="I41" s="35">
        <v>262.35000000000002</v>
      </c>
      <c r="J41" s="35">
        <v>452.47</v>
      </c>
      <c r="K41" s="36">
        <f t="shared" si="11"/>
        <v>5.0999999999999996</v>
      </c>
    </row>
    <row r="42" spans="1:15" x14ac:dyDescent="0.2">
      <c r="A42" s="6">
        <v>41</v>
      </c>
      <c r="B42" s="35" t="s">
        <v>69</v>
      </c>
      <c r="C42" s="35" t="s">
        <v>70</v>
      </c>
      <c r="D42" s="35">
        <v>61</v>
      </c>
      <c r="E42" s="35">
        <v>60</v>
      </c>
      <c r="F42" s="35">
        <v>65</v>
      </c>
      <c r="G42" s="35">
        <f t="shared" si="10"/>
        <v>44</v>
      </c>
      <c r="H42" s="35">
        <v>10</v>
      </c>
      <c r="I42" s="35">
        <v>324.29000000000002</v>
      </c>
      <c r="J42" s="35">
        <v>452.73</v>
      </c>
      <c r="K42" s="36">
        <f t="shared" si="11"/>
        <v>4.4000000000000004</v>
      </c>
    </row>
    <row r="43" spans="1:15" x14ac:dyDescent="0.2">
      <c r="A43" s="6">
        <v>42</v>
      </c>
      <c r="B43" s="35" t="s">
        <v>69</v>
      </c>
      <c r="C43" s="35" t="s">
        <v>71</v>
      </c>
      <c r="D43" s="35">
        <v>58</v>
      </c>
      <c r="E43" s="35">
        <v>55</v>
      </c>
      <c r="F43" s="35">
        <v>61</v>
      </c>
      <c r="G43" s="35">
        <f t="shared" si="10"/>
        <v>40</v>
      </c>
      <c r="H43" s="35">
        <v>10</v>
      </c>
      <c r="I43" s="35">
        <v>359.79</v>
      </c>
      <c r="J43" s="35">
        <v>437.72</v>
      </c>
      <c r="K43" s="36">
        <f t="shared" si="11"/>
        <v>4</v>
      </c>
    </row>
    <row r="44" spans="1:15" x14ac:dyDescent="0.2">
      <c r="A44" t="s">
        <v>50</v>
      </c>
    </row>
    <row r="45" spans="1:15" x14ac:dyDescent="0.2">
      <c r="A45">
        <v>44</v>
      </c>
      <c r="B45" s="13" t="s">
        <v>69</v>
      </c>
      <c r="C45" s="13" t="s">
        <v>14</v>
      </c>
      <c r="D45" s="13">
        <v>22</v>
      </c>
      <c r="E45" s="13">
        <v>22</v>
      </c>
      <c r="F45" s="13">
        <v>23</v>
      </c>
      <c r="G45" s="13">
        <f>F45-21</f>
        <v>2</v>
      </c>
      <c r="H45" s="13">
        <v>48.9</v>
      </c>
      <c r="I45" s="13">
        <v>557.12</v>
      </c>
      <c r="J45" s="13">
        <v>430.92</v>
      </c>
      <c r="K45" s="14">
        <f>G45/H45</f>
        <v>4.0899795501022497E-2</v>
      </c>
    </row>
    <row r="46" spans="1:15" x14ac:dyDescent="0.2">
      <c r="A46" t="s">
        <v>52</v>
      </c>
    </row>
    <row r="47" spans="1:15" x14ac:dyDescent="0.2">
      <c r="A47">
        <v>46</v>
      </c>
      <c r="B47" s="13" t="s">
        <v>72</v>
      </c>
      <c r="C47" s="13" t="s">
        <v>51</v>
      </c>
      <c r="D47" s="13">
        <v>5462</v>
      </c>
      <c r="E47" s="13">
        <v>5373</v>
      </c>
      <c r="F47" s="13">
        <v>5774</v>
      </c>
      <c r="G47" s="13">
        <f>F47-21</f>
        <v>5753</v>
      </c>
      <c r="H47" s="13">
        <v>1</v>
      </c>
      <c r="I47" s="13">
        <v>83.81</v>
      </c>
      <c r="J47" s="13">
        <v>464.26</v>
      </c>
      <c r="K47" s="14">
        <f>G47*10</f>
        <v>57530</v>
      </c>
    </row>
    <row r="48" spans="1:15" x14ac:dyDescent="0.2">
      <c r="A48" t="s">
        <v>54</v>
      </c>
    </row>
    <row r="49" spans="1:11" x14ac:dyDescent="0.2">
      <c r="A49" t="s">
        <v>55</v>
      </c>
    </row>
    <row r="50" spans="1:11" x14ac:dyDescent="0.2">
      <c r="A50">
        <v>49</v>
      </c>
      <c r="C50" s="13" t="s">
        <v>56</v>
      </c>
      <c r="D50" s="13">
        <v>27</v>
      </c>
      <c r="E50" s="13">
        <v>24</v>
      </c>
      <c r="F50" s="13">
        <v>29</v>
      </c>
      <c r="H50" s="13">
        <v>10.1</v>
      </c>
      <c r="I50" s="13">
        <v>359.21</v>
      </c>
      <c r="J50" s="13">
        <v>296.16000000000003</v>
      </c>
    </row>
    <row r="51" spans="1:11" x14ac:dyDescent="0.2">
      <c r="A51">
        <v>50</v>
      </c>
      <c r="C51" s="13" t="s">
        <v>56</v>
      </c>
      <c r="D51" s="13">
        <v>22</v>
      </c>
      <c r="E51" s="13">
        <v>20</v>
      </c>
      <c r="F51" s="13">
        <v>24</v>
      </c>
      <c r="H51" s="13">
        <v>17.2</v>
      </c>
      <c r="I51" s="13">
        <v>573.87</v>
      </c>
      <c r="J51" s="13">
        <v>287.77</v>
      </c>
    </row>
    <row r="52" spans="1:11" x14ac:dyDescent="0.2">
      <c r="A52">
        <v>51</v>
      </c>
      <c r="C52" s="13" t="s">
        <v>56</v>
      </c>
      <c r="D52" s="13">
        <v>17</v>
      </c>
      <c r="E52" s="13">
        <v>16</v>
      </c>
      <c r="F52" s="13">
        <v>19</v>
      </c>
      <c r="H52" s="13">
        <v>23</v>
      </c>
      <c r="I52" s="13">
        <v>608.4</v>
      </c>
      <c r="J52" s="13">
        <v>244.69</v>
      </c>
    </row>
    <row r="53" spans="1:11" x14ac:dyDescent="0.2">
      <c r="A53">
        <v>52</v>
      </c>
      <c r="C53" s="13" t="s">
        <v>56</v>
      </c>
      <c r="D53" s="13">
        <v>22</v>
      </c>
      <c r="E53" s="13">
        <v>20</v>
      </c>
      <c r="F53" s="13">
        <v>24</v>
      </c>
      <c r="G53" s="13">
        <f>AVERAGE(F50:F53)</f>
        <v>24</v>
      </c>
      <c r="H53" s="13">
        <v>31.5</v>
      </c>
      <c r="I53" s="13">
        <v>489.76</v>
      </c>
      <c r="J53" s="13">
        <v>264.12</v>
      </c>
    </row>
    <row r="54" spans="1:11" x14ac:dyDescent="0.2">
      <c r="A54" t="s">
        <v>57</v>
      </c>
    </row>
    <row r="55" spans="1:11" x14ac:dyDescent="0.2">
      <c r="A55">
        <v>54</v>
      </c>
      <c r="B55" s="13" t="s">
        <v>60</v>
      </c>
      <c r="C55" s="13" t="s">
        <v>59</v>
      </c>
      <c r="D55" s="13">
        <v>404</v>
      </c>
      <c r="E55" s="13">
        <v>398</v>
      </c>
      <c r="F55" s="13">
        <v>437</v>
      </c>
      <c r="G55" s="13">
        <f>F55-24</f>
        <v>413</v>
      </c>
      <c r="H55" s="13">
        <v>15</v>
      </c>
      <c r="I55" s="13">
        <v>92.16</v>
      </c>
      <c r="J55" s="13">
        <v>325.89999999999998</v>
      </c>
      <c r="K55" s="14">
        <f>G55/H55</f>
        <v>27.533333333333335</v>
      </c>
    </row>
    <row r="56" spans="1:11" x14ac:dyDescent="0.2">
      <c r="A56">
        <v>55</v>
      </c>
      <c r="B56" s="13" t="s">
        <v>61</v>
      </c>
      <c r="C56" s="13" t="s">
        <v>58</v>
      </c>
      <c r="D56" s="13">
        <v>376</v>
      </c>
      <c r="E56" s="13">
        <v>371</v>
      </c>
      <c r="F56" s="13">
        <v>407</v>
      </c>
      <c r="G56" s="13">
        <f t="shared" ref="G56:G62" si="12">F56-24</f>
        <v>383</v>
      </c>
      <c r="H56" s="13">
        <v>21</v>
      </c>
      <c r="I56" s="13">
        <v>111.28</v>
      </c>
      <c r="J56" s="13">
        <v>310.20999999999998</v>
      </c>
      <c r="K56" s="14">
        <f t="shared" ref="K56:K62" si="13">G56/H56</f>
        <v>18.238095238095237</v>
      </c>
    </row>
    <row r="57" spans="1:11" x14ac:dyDescent="0.2">
      <c r="A57">
        <v>56</v>
      </c>
      <c r="B57" s="13" t="s">
        <v>62</v>
      </c>
      <c r="C57" s="13" t="s">
        <v>73</v>
      </c>
      <c r="D57" s="13">
        <v>685</v>
      </c>
      <c r="E57" s="13">
        <v>676</v>
      </c>
      <c r="F57" s="13">
        <v>745</v>
      </c>
      <c r="G57" s="13">
        <f t="shared" si="12"/>
        <v>721</v>
      </c>
      <c r="H57" s="13">
        <v>24.3</v>
      </c>
      <c r="I57" s="13">
        <v>77.36</v>
      </c>
      <c r="J57" s="13">
        <v>297.66000000000003</v>
      </c>
      <c r="K57" s="14">
        <f t="shared" si="13"/>
        <v>29.670781893004115</v>
      </c>
    </row>
    <row r="58" spans="1:11" x14ac:dyDescent="0.2">
      <c r="A58">
        <v>57</v>
      </c>
      <c r="B58" s="13" t="s">
        <v>63</v>
      </c>
      <c r="C58" s="13" t="s">
        <v>74</v>
      </c>
      <c r="D58" s="13">
        <v>507</v>
      </c>
      <c r="E58" s="13">
        <v>501</v>
      </c>
      <c r="F58" s="13">
        <v>550</v>
      </c>
      <c r="G58" s="13">
        <f t="shared" si="12"/>
        <v>526</v>
      </c>
      <c r="H58" s="13">
        <v>18</v>
      </c>
      <c r="I58" s="13">
        <v>81.99</v>
      </c>
      <c r="J58" s="13">
        <v>309.45</v>
      </c>
      <c r="K58" s="14">
        <f t="shared" si="13"/>
        <v>29.222222222222221</v>
      </c>
    </row>
    <row r="59" spans="1:11" x14ac:dyDescent="0.2">
      <c r="A59">
        <v>58</v>
      </c>
      <c r="B59" s="13" t="s">
        <v>64</v>
      </c>
      <c r="C59" s="13" t="s">
        <v>75</v>
      </c>
      <c r="D59" s="13">
        <v>459</v>
      </c>
      <c r="E59" s="13">
        <v>452</v>
      </c>
      <c r="F59" s="13">
        <v>499</v>
      </c>
      <c r="G59" s="13">
        <f t="shared" si="12"/>
        <v>475</v>
      </c>
      <c r="H59" s="13">
        <v>26.2</v>
      </c>
      <c r="I59" s="13">
        <v>86.99</v>
      </c>
      <c r="J59" s="13">
        <v>305.89999999999998</v>
      </c>
      <c r="K59" s="14">
        <f t="shared" si="13"/>
        <v>18.129770992366414</v>
      </c>
    </row>
    <row r="60" spans="1:11" x14ac:dyDescent="0.2">
      <c r="A60">
        <v>59</v>
      </c>
      <c r="B60" s="13" t="s">
        <v>65</v>
      </c>
      <c r="C60" s="13" t="s">
        <v>76</v>
      </c>
      <c r="D60" s="13">
        <v>282</v>
      </c>
      <c r="E60" s="13">
        <v>278</v>
      </c>
      <c r="F60" s="13">
        <v>306</v>
      </c>
      <c r="G60" s="13">
        <f t="shared" si="12"/>
        <v>282</v>
      </c>
      <c r="H60" s="13">
        <v>23.7</v>
      </c>
      <c r="I60" s="13">
        <v>102.1</v>
      </c>
      <c r="J60" s="13">
        <v>319.10000000000002</v>
      </c>
      <c r="K60" s="14">
        <f t="shared" si="13"/>
        <v>11.898734177215191</v>
      </c>
    </row>
    <row r="61" spans="1:11" x14ac:dyDescent="0.2">
      <c r="A61">
        <v>60</v>
      </c>
      <c r="B61" s="13" t="s">
        <v>66</v>
      </c>
      <c r="C61" s="13" t="s">
        <v>77</v>
      </c>
      <c r="D61" s="13">
        <v>438</v>
      </c>
      <c r="E61" s="13">
        <v>431</v>
      </c>
      <c r="F61" s="13">
        <v>477</v>
      </c>
      <c r="G61" s="13">
        <f t="shared" si="12"/>
        <v>453</v>
      </c>
      <c r="H61" s="13">
        <v>26.4</v>
      </c>
      <c r="I61" s="13">
        <v>91.95</v>
      </c>
      <c r="J61" s="13">
        <v>300.70999999999998</v>
      </c>
      <c r="K61" s="14">
        <f t="shared" si="13"/>
        <v>17.15909090909091</v>
      </c>
    </row>
    <row r="62" spans="1:11" x14ac:dyDescent="0.2">
      <c r="A62">
        <v>61</v>
      </c>
      <c r="B62" s="13" t="s">
        <v>67</v>
      </c>
      <c r="C62" s="13" t="s">
        <v>78</v>
      </c>
      <c r="D62" s="13">
        <v>708</v>
      </c>
      <c r="E62" s="13">
        <v>700</v>
      </c>
      <c r="F62" s="13">
        <v>772</v>
      </c>
      <c r="G62" s="13">
        <f t="shared" si="12"/>
        <v>748</v>
      </c>
      <c r="H62" s="13">
        <v>29</v>
      </c>
      <c r="I62" s="13">
        <v>82.59</v>
      </c>
      <c r="J62" s="13">
        <v>292.91000000000003</v>
      </c>
      <c r="K62" s="14">
        <f t="shared" si="13"/>
        <v>25.793103448275861</v>
      </c>
    </row>
    <row r="66" spans="1:11" x14ac:dyDescent="0.2">
      <c r="A66" s="2" t="s">
        <v>95</v>
      </c>
    </row>
    <row r="67" spans="1:11" x14ac:dyDescent="0.2">
      <c r="A67" t="s">
        <v>0</v>
      </c>
      <c r="B67" s="13" t="s">
        <v>1</v>
      </c>
      <c r="C67" s="13" t="s">
        <v>2</v>
      </c>
      <c r="D67" s="13" t="s">
        <v>3</v>
      </c>
      <c r="E67" s="13" t="s">
        <v>4</v>
      </c>
      <c r="F67" s="13" t="s">
        <v>5</v>
      </c>
      <c r="G67" s="13" t="s">
        <v>6</v>
      </c>
      <c r="H67" s="13" t="s">
        <v>7</v>
      </c>
      <c r="I67" s="13" t="s">
        <v>8</v>
      </c>
      <c r="J67" s="13" t="s">
        <v>9</v>
      </c>
      <c r="K67" s="13" t="s">
        <v>10</v>
      </c>
    </row>
    <row r="68" spans="1:11" x14ac:dyDescent="0.2">
      <c r="A68">
        <v>1</v>
      </c>
      <c r="D68" s="13">
        <v>20</v>
      </c>
      <c r="E68" s="13">
        <v>19</v>
      </c>
      <c r="F68" s="13">
        <v>22</v>
      </c>
      <c r="I68" s="13">
        <v>588.13</v>
      </c>
      <c r="J68" s="13">
        <v>418.36</v>
      </c>
      <c r="K68" s="13"/>
    </row>
    <row r="69" spans="1:11" x14ac:dyDescent="0.2">
      <c r="A69" t="s">
        <v>83</v>
      </c>
      <c r="K69" s="13"/>
    </row>
    <row r="70" spans="1:11" x14ac:dyDescent="0.2">
      <c r="A70">
        <v>3</v>
      </c>
      <c r="B70" s="13" t="s">
        <v>69</v>
      </c>
      <c r="C70" s="13" t="s">
        <v>84</v>
      </c>
      <c r="D70" s="13">
        <v>16</v>
      </c>
      <c r="E70" s="13">
        <v>14</v>
      </c>
      <c r="F70" s="13">
        <v>17</v>
      </c>
      <c r="G70" s="13">
        <f>F70-22</f>
        <v>-5</v>
      </c>
      <c r="H70" s="13">
        <v>40</v>
      </c>
      <c r="I70" s="13">
        <v>782.16</v>
      </c>
      <c r="J70" s="13">
        <v>441.87</v>
      </c>
      <c r="K70" s="25">
        <v>0</v>
      </c>
    </row>
    <row r="71" spans="1:11" x14ac:dyDescent="0.2">
      <c r="A71">
        <v>4</v>
      </c>
      <c r="B71" s="13" t="s">
        <v>69</v>
      </c>
      <c r="C71" s="13" t="s">
        <v>85</v>
      </c>
      <c r="D71" s="13">
        <v>23</v>
      </c>
      <c r="E71" s="13">
        <v>21</v>
      </c>
      <c r="F71" s="13">
        <v>24</v>
      </c>
      <c r="G71" s="13">
        <f t="shared" ref="G71:G80" si="14">F71-22</f>
        <v>2</v>
      </c>
      <c r="H71" s="13">
        <v>40</v>
      </c>
      <c r="I71" s="13">
        <v>510.42</v>
      </c>
      <c r="J71" s="13">
        <v>432.4</v>
      </c>
      <c r="K71" s="25">
        <f t="shared" ref="K71:K80" si="15">G71/H71</f>
        <v>0.05</v>
      </c>
    </row>
    <row r="72" spans="1:11" x14ac:dyDescent="0.2">
      <c r="A72">
        <v>5</v>
      </c>
      <c r="B72" s="13" t="s">
        <v>69</v>
      </c>
      <c r="C72" s="13" t="s">
        <v>86</v>
      </c>
      <c r="D72" s="13">
        <v>33</v>
      </c>
      <c r="E72" s="13">
        <v>31</v>
      </c>
      <c r="F72" s="13">
        <v>35</v>
      </c>
      <c r="G72" s="13">
        <f t="shared" si="14"/>
        <v>13</v>
      </c>
      <c r="H72" s="13">
        <v>40</v>
      </c>
      <c r="I72" s="13">
        <v>392.46</v>
      </c>
      <c r="J72" s="13">
        <v>433.67</v>
      </c>
      <c r="K72" s="25">
        <f t="shared" si="15"/>
        <v>0.32500000000000001</v>
      </c>
    </row>
    <row r="73" spans="1:11" x14ac:dyDescent="0.2">
      <c r="A73">
        <v>6</v>
      </c>
      <c r="B73" s="13" t="s">
        <v>69</v>
      </c>
      <c r="C73" s="13" t="s">
        <v>87</v>
      </c>
      <c r="D73" s="13">
        <v>44</v>
      </c>
      <c r="E73" s="13">
        <v>43</v>
      </c>
      <c r="F73" s="13">
        <v>47</v>
      </c>
      <c r="G73" s="13">
        <f t="shared" si="14"/>
        <v>25</v>
      </c>
      <c r="H73" s="13">
        <v>40</v>
      </c>
      <c r="I73" s="13">
        <v>351.11</v>
      </c>
      <c r="J73" s="13">
        <v>443.57</v>
      </c>
      <c r="K73" s="25">
        <f t="shared" si="15"/>
        <v>0.625</v>
      </c>
    </row>
    <row r="74" spans="1:11" x14ac:dyDescent="0.2">
      <c r="A74">
        <v>7</v>
      </c>
      <c r="B74" s="13" t="s">
        <v>69</v>
      </c>
      <c r="C74" s="13" t="s">
        <v>88</v>
      </c>
      <c r="D74" s="13">
        <v>67</v>
      </c>
      <c r="E74" s="13">
        <v>65</v>
      </c>
      <c r="F74" s="13">
        <v>71</v>
      </c>
      <c r="G74" s="13">
        <f t="shared" si="14"/>
        <v>49</v>
      </c>
      <c r="H74" s="13">
        <v>40</v>
      </c>
      <c r="I74" s="13">
        <v>273.45</v>
      </c>
      <c r="J74" s="13">
        <v>438.66</v>
      </c>
      <c r="K74" s="25">
        <f t="shared" si="15"/>
        <v>1.2250000000000001</v>
      </c>
    </row>
    <row r="75" spans="1:11" x14ac:dyDescent="0.2">
      <c r="A75">
        <v>8</v>
      </c>
      <c r="B75" s="13" t="s">
        <v>69</v>
      </c>
      <c r="C75" s="13" t="s">
        <v>89</v>
      </c>
      <c r="D75" s="13">
        <v>75</v>
      </c>
      <c r="E75" s="13">
        <v>71</v>
      </c>
      <c r="F75" s="13">
        <v>79</v>
      </c>
      <c r="G75" s="13">
        <f t="shared" si="14"/>
        <v>57</v>
      </c>
      <c r="H75" s="13">
        <v>40</v>
      </c>
      <c r="I75" s="13">
        <v>225.55</v>
      </c>
      <c r="J75" s="13">
        <v>443.46</v>
      </c>
      <c r="K75" s="25">
        <f t="shared" si="15"/>
        <v>1.425</v>
      </c>
    </row>
    <row r="76" spans="1:11" x14ac:dyDescent="0.2">
      <c r="A76">
        <v>9</v>
      </c>
      <c r="B76" s="13" t="s">
        <v>69</v>
      </c>
      <c r="C76" s="13" t="s">
        <v>90</v>
      </c>
      <c r="D76" s="13">
        <v>99</v>
      </c>
      <c r="E76" s="13">
        <v>95</v>
      </c>
      <c r="F76" s="13">
        <v>104</v>
      </c>
      <c r="G76" s="13">
        <f t="shared" si="14"/>
        <v>82</v>
      </c>
      <c r="H76" s="13">
        <v>40</v>
      </c>
      <c r="I76" s="13">
        <v>229.91</v>
      </c>
      <c r="J76" s="13">
        <v>439.76</v>
      </c>
      <c r="K76" s="25">
        <f t="shared" si="15"/>
        <v>2.0499999999999998</v>
      </c>
    </row>
    <row r="77" spans="1:11" x14ac:dyDescent="0.2">
      <c r="A77">
        <v>10</v>
      </c>
      <c r="B77" s="13" t="s">
        <v>69</v>
      </c>
      <c r="C77" s="13" t="s">
        <v>91</v>
      </c>
      <c r="D77" s="13">
        <v>125</v>
      </c>
      <c r="E77" s="13">
        <v>121</v>
      </c>
      <c r="F77" s="13">
        <v>132</v>
      </c>
      <c r="G77" s="13">
        <f t="shared" si="14"/>
        <v>110</v>
      </c>
      <c r="H77" s="13">
        <v>40</v>
      </c>
      <c r="I77" s="13">
        <v>224.41</v>
      </c>
      <c r="J77" s="13">
        <v>437.25</v>
      </c>
      <c r="K77" s="25">
        <f t="shared" si="15"/>
        <v>2.75</v>
      </c>
    </row>
    <row r="78" spans="1:11" x14ac:dyDescent="0.2">
      <c r="A78">
        <v>11</v>
      </c>
      <c r="B78" s="13" t="s">
        <v>69</v>
      </c>
      <c r="C78" s="13" t="s">
        <v>92</v>
      </c>
      <c r="D78" s="13">
        <v>151</v>
      </c>
      <c r="E78" s="13">
        <v>147</v>
      </c>
      <c r="F78" s="13">
        <v>160</v>
      </c>
      <c r="G78" s="13">
        <f t="shared" si="14"/>
        <v>138</v>
      </c>
      <c r="H78" s="13">
        <v>40</v>
      </c>
      <c r="I78" s="13">
        <v>145.59</v>
      </c>
      <c r="J78" s="13">
        <v>441.23</v>
      </c>
      <c r="K78" s="25">
        <f t="shared" si="15"/>
        <v>3.45</v>
      </c>
    </row>
    <row r="79" spans="1:11" x14ac:dyDescent="0.2">
      <c r="A79">
        <v>12</v>
      </c>
      <c r="B79" s="13" t="s">
        <v>69</v>
      </c>
      <c r="C79" s="13" t="s">
        <v>93</v>
      </c>
      <c r="D79" s="13">
        <v>128</v>
      </c>
      <c r="E79" s="13">
        <v>125</v>
      </c>
      <c r="F79" s="13">
        <v>136</v>
      </c>
      <c r="G79" s="13">
        <f t="shared" si="14"/>
        <v>114</v>
      </c>
      <c r="H79" s="13">
        <v>40</v>
      </c>
      <c r="I79" s="13">
        <v>180.71</v>
      </c>
      <c r="J79" s="13">
        <v>438.67</v>
      </c>
      <c r="K79" s="25">
        <f t="shared" si="15"/>
        <v>2.85</v>
      </c>
    </row>
    <row r="80" spans="1:11" x14ac:dyDescent="0.2">
      <c r="A80">
        <v>13</v>
      </c>
      <c r="B80" s="13" t="s">
        <v>69</v>
      </c>
      <c r="C80" s="13" t="s">
        <v>94</v>
      </c>
      <c r="D80" s="13">
        <v>118</v>
      </c>
      <c r="E80" s="13">
        <v>113</v>
      </c>
      <c r="F80" s="13">
        <v>125</v>
      </c>
      <c r="G80" s="13">
        <f t="shared" si="14"/>
        <v>103</v>
      </c>
      <c r="H80" s="13">
        <v>40</v>
      </c>
      <c r="I80" s="13">
        <v>216.42</v>
      </c>
      <c r="J80" s="13">
        <v>406.73</v>
      </c>
      <c r="K80" s="25">
        <f t="shared" si="15"/>
        <v>2.5750000000000002</v>
      </c>
    </row>
  </sheetData>
  <mergeCells count="1">
    <mergeCell ref="L33:O33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7B38-2F2D-BF42-B1F2-EE6665E237CC}">
  <dimension ref="A1:Y73"/>
  <sheetViews>
    <sheetView topLeftCell="J1" workbookViewId="0">
      <selection activeCell="M70" sqref="M70"/>
    </sheetView>
  </sheetViews>
  <sheetFormatPr baseColWidth="10" defaultRowHeight="16" x14ac:dyDescent="0.2"/>
  <cols>
    <col min="3" max="3" width="14.1640625" bestFit="1" customWidth="1"/>
    <col min="11" max="11" width="14.6640625" style="19" bestFit="1" customWidth="1"/>
    <col min="12" max="12" width="14.6640625" style="19" customWidth="1"/>
    <col min="14" max="14" width="12.1640625" bestFit="1" customWidth="1"/>
    <col min="15" max="15" width="12.33203125" bestFit="1" customWidth="1"/>
  </cols>
  <sheetData>
    <row r="1" spans="1:25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8" t="s">
        <v>10</v>
      </c>
      <c r="L1" s="28"/>
      <c r="M1" s="29"/>
      <c r="N1" s="30" t="s">
        <v>11</v>
      </c>
      <c r="O1" s="2" t="s">
        <v>155</v>
      </c>
      <c r="P1" s="2" t="s">
        <v>1</v>
      </c>
      <c r="Q1" s="2" t="s">
        <v>12</v>
      </c>
      <c r="R1" s="2" t="s">
        <v>14</v>
      </c>
      <c r="S1" s="2" t="s">
        <v>13</v>
      </c>
      <c r="T1" s="2" t="s">
        <v>15</v>
      </c>
      <c r="U1" s="2" t="s">
        <v>16</v>
      </c>
      <c r="W1" s="2" t="s">
        <v>132</v>
      </c>
      <c r="X1" s="2" t="s">
        <v>18</v>
      </c>
      <c r="Y1" s="2" t="s">
        <v>19</v>
      </c>
    </row>
    <row r="2" spans="1:25" x14ac:dyDescent="0.2">
      <c r="A2">
        <v>1</v>
      </c>
      <c r="C2" t="s">
        <v>22</v>
      </c>
      <c r="D2">
        <v>22</v>
      </c>
      <c r="E2">
        <v>20</v>
      </c>
      <c r="F2">
        <v>24</v>
      </c>
      <c r="I2">
        <v>683.65</v>
      </c>
      <c r="J2">
        <v>411.79</v>
      </c>
      <c r="M2" s="22" t="s">
        <v>289</v>
      </c>
      <c r="N2" s="31">
        <v>0.43055555555555558</v>
      </c>
      <c r="O2" s="13" t="s">
        <v>134</v>
      </c>
      <c r="P2" s="13" t="s">
        <v>112</v>
      </c>
      <c r="Q2" s="14">
        <v>0.5629139072847682</v>
      </c>
      <c r="R2" s="14">
        <v>-2.7586206896551726</v>
      </c>
      <c r="S2" s="13">
        <v>3</v>
      </c>
      <c r="T2" s="13">
        <v>-0.9</v>
      </c>
      <c r="U2" s="13">
        <v>160290</v>
      </c>
      <c r="V2" s="13"/>
      <c r="W2" s="27">
        <v>0.18763796909492272</v>
      </c>
      <c r="X2" s="27">
        <v>-0.91954022988505757</v>
      </c>
      <c r="Y2" s="27">
        <v>1.8716077110237695E-5</v>
      </c>
    </row>
    <row r="3" spans="1:25" x14ac:dyDescent="0.2">
      <c r="A3">
        <v>2</v>
      </c>
      <c r="C3" t="s">
        <v>24</v>
      </c>
      <c r="D3">
        <v>24</v>
      </c>
      <c r="E3">
        <v>20</v>
      </c>
      <c r="F3">
        <v>25</v>
      </c>
      <c r="I3">
        <v>654.21</v>
      </c>
      <c r="J3">
        <v>427.9</v>
      </c>
      <c r="N3" s="13">
        <v>0.4375</v>
      </c>
      <c r="O3" s="13" t="s">
        <v>135</v>
      </c>
      <c r="P3" s="13" t="s">
        <v>113</v>
      </c>
      <c r="Q3" s="14">
        <v>1.6143497757847534</v>
      </c>
      <c r="R3" s="14">
        <v>0.62893081761006286</v>
      </c>
      <c r="S3" s="13">
        <v>5.7</v>
      </c>
      <c r="T3" s="13">
        <v>-0.8</v>
      </c>
      <c r="U3" s="13"/>
      <c r="V3" s="13"/>
      <c r="W3" s="27">
        <v>0.28321925890960586</v>
      </c>
      <c r="X3" s="27">
        <v>0.11033873993158998</v>
      </c>
      <c r="Y3" s="27">
        <v>3.5560546509451617E-5</v>
      </c>
    </row>
    <row r="4" spans="1:25" x14ac:dyDescent="0.2">
      <c r="A4" t="s">
        <v>111</v>
      </c>
      <c r="M4" s="22"/>
      <c r="N4" s="31">
        <v>0.44444444444444442</v>
      </c>
      <c r="O4" s="13" t="s">
        <v>136</v>
      </c>
      <c r="P4" s="13" t="s">
        <v>114</v>
      </c>
      <c r="Q4" s="14">
        <v>2.0108695652173916</v>
      </c>
      <c r="R4" s="14">
        <v>0.3603603603603604</v>
      </c>
      <c r="S4" s="13">
        <v>5.0999999999999996</v>
      </c>
      <c r="T4" s="13">
        <v>0.6</v>
      </c>
      <c r="U4" s="13"/>
      <c r="V4" s="13"/>
      <c r="W4" s="27">
        <v>0.39428815004262585</v>
      </c>
      <c r="X4" s="27">
        <v>7.0658894188305968E-2</v>
      </c>
      <c r="Y4" s="27">
        <v>3.1817331087404079E-5</v>
      </c>
    </row>
    <row r="5" spans="1:25" x14ac:dyDescent="0.2">
      <c r="A5">
        <v>4</v>
      </c>
      <c r="B5" t="s">
        <v>112</v>
      </c>
      <c r="C5" t="s">
        <v>13</v>
      </c>
      <c r="D5">
        <v>53</v>
      </c>
      <c r="E5">
        <v>50</v>
      </c>
      <c r="F5">
        <v>56</v>
      </c>
      <c r="G5">
        <f>F5-26</f>
        <v>30</v>
      </c>
      <c r="H5">
        <v>10</v>
      </c>
      <c r="I5">
        <v>295.23</v>
      </c>
      <c r="J5">
        <v>438.15</v>
      </c>
      <c r="K5" s="19">
        <f>G5/H5</f>
        <v>3</v>
      </c>
      <c r="M5" s="22"/>
      <c r="N5" s="31">
        <v>0.45347222222222222</v>
      </c>
      <c r="O5" s="13" t="s">
        <v>137</v>
      </c>
      <c r="P5" s="13" t="s">
        <v>115</v>
      </c>
      <c r="Q5" s="14">
        <v>1.5508021390374331</v>
      </c>
      <c r="R5" s="14">
        <v>0.19230769230769232</v>
      </c>
      <c r="S5" s="13">
        <v>3.8</v>
      </c>
      <c r="T5" s="13">
        <v>0</v>
      </c>
      <c r="U5" s="13"/>
      <c r="V5" s="13"/>
      <c r="W5" s="27">
        <v>0.40810582606248241</v>
      </c>
      <c r="X5" s="27">
        <v>5.0607287449392718E-2</v>
      </c>
      <c r="Y5" s="27">
        <v>2.3707031006301078E-5</v>
      </c>
    </row>
    <row r="6" spans="1:25" x14ac:dyDescent="0.2">
      <c r="A6">
        <v>5</v>
      </c>
      <c r="B6" t="s">
        <v>113</v>
      </c>
      <c r="C6" t="s">
        <v>13</v>
      </c>
      <c r="D6">
        <v>79</v>
      </c>
      <c r="E6">
        <v>77</v>
      </c>
      <c r="F6">
        <v>83</v>
      </c>
      <c r="G6">
        <f t="shared" ref="G6:G14" si="0">F6-26</f>
        <v>57</v>
      </c>
      <c r="H6">
        <v>10</v>
      </c>
      <c r="I6">
        <v>220.86</v>
      </c>
      <c r="J6">
        <v>442.66</v>
      </c>
      <c r="K6" s="19">
        <f t="shared" ref="K6:K17" si="1">G6/H6</f>
        <v>5.7</v>
      </c>
      <c r="M6" s="22"/>
      <c r="N6" s="31">
        <v>0.4604166666666667</v>
      </c>
      <c r="O6" s="13" t="s">
        <v>138</v>
      </c>
      <c r="P6" s="13" t="s">
        <v>116</v>
      </c>
      <c r="Q6" s="14">
        <v>1.728395061728395</v>
      </c>
      <c r="R6" s="14">
        <v>1.375</v>
      </c>
      <c r="S6" s="13">
        <v>4.4000000000000004</v>
      </c>
      <c r="T6" s="13">
        <v>0.2</v>
      </c>
      <c r="U6" s="13"/>
      <c r="V6" s="13"/>
      <c r="W6" s="27">
        <v>0.39281705948372608</v>
      </c>
      <c r="X6" s="27">
        <v>0.3125</v>
      </c>
      <c r="Y6" s="27">
        <v>2.745024642834862E-5</v>
      </c>
    </row>
    <row r="7" spans="1:25" x14ac:dyDescent="0.2">
      <c r="A7">
        <v>6</v>
      </c>
      <c r="B7" t="s">
        <v>114</v>
      </c>
      <c r="C7" t="s">
        <v>13</v>
      </c>
      <c r="D7">
        <v>73</v>
      </c>
      <c r="E7">
        <v>71</v>
      </c>
      <c r="F7">
        <v>77</v>
      </c>
      <c r="G7">
        <f t="shared" si="0"/>
        <v>51</v>
      </c>
      <c r="H7">
        <v>10</v>
      </c>
      <c r="I7">
        <v>264.10000000000002</v>
      </c>
      <c r="J7">
        <v>440.03</v>
      </c>
      <c r="K7" s="19">
        <f t="shared" si="1"/>
        <v>5.0999999999999996</v>
      </c>
      <c r="M7" s="22"/>
      <c r="N7" s="31">
        <v>0.46736111111111112</v>
      </c>
      <c r="O7" s="13" t="s">
        <v>139</v>
      </c>
      <c r="P7" s="13" t="s">
        <v>117</v>
      </c>
      <c r="Q7" s="14">
        <v>1.5087719298245614</v>
      </c>
      <c r="R7" s="14">
        <v>1.0434782608695652</v>
      </c>
      <c r="S7" s="13">
        <v>5.4</v>
      </c>
      <c r="T7" s="13">
        <v>1.6</v>
      </c>
      <c r="U7" s="13"/>
      <c r="V7" s="13"/>
      <c r="W7" s="27">
        <v>0.27940220922677061</v>
      </c>
      <c r="X7" s="27">
        <v>0.19323671497584538</v>
      </c>
      <c r="Y7" s="27">
        <v>3.3688938798427851E-5</v>
      </c>
    </row>
    <row r="8" spans="1:25" x14ac:dyDescent="0.2">
      <c r="A8">
        <v>7</v>
      </c>
      <c r="B8" t="s">
        <v>115</v>
      </c>
      <c r="C8" t="s">
        <v>13</v>
      </c>
      <c r="D8">
        <v>61</v>
      </c>
      <c r="E8">
        <v>58</v>
      </c>
      <c r="F8">
        <v>64</v>
      </c>
      <c r="G8">
        <f t="shared" si="0"/>
        <v>38</v>
      </c>
      <c r="H8">
        <v>10</v>
      </c>
      <c r="I8">
        <v>315.94</v>
      </c>
      <c r="J8">
        <v>443.41</v>
      </c>
      <c r="K8" s="19">
        <f t="shared" si="1"/>
        <v>3.8</v>
      </c>
      <c r="M8" s="22"/>
      <c r="N8" s="31">
        <v>0.47638888888888892</v>
      </c>
      <c r="O8" s="13" t="s">
        <v>140</v>
      </c>
      <c r="P8" s="13" t="s">
        <v>118</v>
      </c>
      <c r="Q8" s="14">
        <v>1.728395061728395</v>
      </c>
      <c r="R8" s="14">
        <v>1.2707182320441988</v>
      </c>
      <c r="S8" s="13">
        <v>4</v>
      </c>
      <c r="T8" s="13">
        <v>-0.5</v>
      </c>
      <c r="U8" s="13"/>
      <c r="V8" s="13"/>
      <c r="W8" s="27">
        <v>0.43209876543209874</v>
      </c>
      <c r="X8" s="27">
        <v>0.31767955801104969</v>
      </c>
      <c r="Y8" s="27">
        <v>2.4954769480316926E-5</v>
      </c>
    </row>
    <row r="9" spans="1:25" x14ac:dyDescent="0.2">
      <c r="A9">
        <v>8</v>
      </c>
      <c r="B9" t="s">
        <v>116</v>
      </c>
      <c r="C9" t="s">
        <v>13</v>
      </c>
      <c r="D9">
        <v>67</v>
      </c>
      <c r="E9">
        <v>64</v>
      </c>
      <c r="F9">
        <v>70</v>
      </c>
      <c r="G9">
        <f t="shared" si="0"/>
        <v>44</v>
      </c>
      <c r="H9">
        <v>10</v>
      </c>
      <c r="I9">
        <v>260.22000000000003</v>
      </c>
      <c r="J9">
        <v>445.55</v>
      </c>
      <c r="K9" s="19">
        <f t="shared" si="1"/>
        <v>4.4000000000000004</v>
      </c>
      <c r="M9" s="22"/>
      <c r="N9" s="31">
        <v>0.48819444444444443</v>
      </c>
      <c r="O9" s="13" t="s">
        <v>141</v>
      </c>
      <c r="P9" s="13" t="s">
        <v>119</v>
      </c>
      <c r="Q9" s="14">
        <v>1.9823788546255507</v>
      </c>
      <c r="R9" s="14">
        <v>0.96256684491978617</v>
      </c>
      <c r="S9" s="13">
        <v>4.9000000000000004</v>
      </c>
      <c r="T9" s="13">
        <v>0.3</v>
      </c>
      <c r="U9" s="13"/>
      <c r="V9" s="13"/>
      <c r="W9" s="27">
        <v>0.40456711318888788</v>
      </c>
      <c r="X9" s="27">
        <v>0.19644221324893593</v>
      </c>
      <c r="Y9" s="27">
        <v>3.0569592613388237E-5</v>
      </c>
    </row>
    <row r="10" spans="1:25" x14ac:dyDescent="0.2">
      <c r="A10">
        <v>9</v>
      </c>
      <c r="B10" t="s">
        <v>117</v>
      </c>
      <c r="C10" t="s">
        <v>13</v>
      </c>
      <c r="D10">
        <v>76</v>
      </c>
      <c r="E10">
        <v>72</v>
      </c>
      <c r="F10">
        <v>80</v>
      </c>
      <c r="G10">
        <f t="shared" si="0"/>
        <v>54</v>
      </c>
      <c r="H10">
        <v>10</v>
      </c>
      <c r="I10">
        <v>301.56</v>
      </c>
      <c r="J10">
        <v>443.98</v>
      </c>
      <c r="K10" s="19">
        <f t="shared" si="1"/>
        <v>5.4</v>
      </c>
      <c r="M10" s="22"/>
      <c r="N10" s="31">
        <v>0.50138888888888888</v>
      </c>
      <c r="O10" s="13" t="s">
        <v>142</v>
      </c>
      <c r="P10" s="13" t="s">
        <v>120</v>
      </c>
      <c r="Q10" s="14">
        <v>2.8654970760233915</v>
      </c>
      <c r="R10" s="14">
        <v>0.81967213114754101</v>
      </c>
      <c r="S10" s="13">
        <v>4.8</v>
      </c>
      <c r="T10" s="13">
        <v>-0.7</v>
      </c>
      <c r="U10" s="13"/>
      <c r="V10" s="13"/>
      <c r="W10" s="27">
        <v>0.59697855750487328</v>
      </c>
      <c r="X10" s="27">
        <v>0.17076502732240439</v>
      </c>
      <c r="Y10" s="27">
        <v>2.994572337638031E-5</v>
      </c>
    </row>
    <row r="11" spans="1:25" x14ac:dyDescent="0.2">
      <c r="A11">
        <v>10</v>
      </c>
      <c r="B11" t="s">
        <v>118</v>
      </c>
      <c r="C11" t="s">
        <v>13</v>
      </c>
      <c r="D11">
        <v>62</v>
      </c>
      <c r="E11">
        <v>60</v>
      </c>
      <c r="F11">
        <v>66</v>
      </c>
      <c r="G11">
        <f t="shared" si="0"/>
        <v>40</v>
      </c>
      <c r="H11">
        <v>10</v>
      </c>
      <c r="I11">
        <v>311.7</v>
      </c>
      <c r="J11">
        <v>447.54</v>
      </c>
      <c r="K11" s="19">
        <f t="shared" si="1"/>
        <v>4</v>
      </c>
      <c r="M11" s="22"/>
      <c r="N11" s="31">
        <v>0.51388888888888895</v>
      </c>
      <c r="O11" s="13" t="s">
        <v>143</v>
      </c>
      <c r="P11" s="13" t="s">
        <v>121</v>
      </c>
      <c r="Q11" s="14">
        <v>1.9213973799126638</v>
      </c>
      <c r="R11" s="14">
        <v>1.9230769230769231</v>
      </c>
      <c r="S11" s="13">
        <v>3.4</v>
      </c>
      <c r="T11" s="13">
        <v>-0.2</v>
      </c>
      <c r="U11" s="13"/>
      <c r="V11" s="13"/>
      <c r="W11" s="27">
        <v>0.56511687644490116</v>
      </c>
      <c r="X11" s="27">
        <v>0.56561085972850678</v>
      </c>
      <c r="Y11" s="27">
        <v>2.1211554058269385E-5</v>
      </c>
    </row>
    <row r="12" spans="1:25" x14ac:dyDescent="0.2">
      <c r="A12">
        <v>11</v>
      </c>
      <c r="B12" t="s">
        <v>119</v>
      </c>
      <c r="C12" t="s">
        <v>13</v>
      </c>
      <c r="D12">
        <v>71</v>
      </c>
      <c r="E12">
        <v>69</v>
      </c>
      <c r="F12">
        <v>75</v>
      </c>
      <c r="G12">
        <f t="shared" si="0"/>
        <v>49</v>
      </c>
      <c r="H12">
        <v>10</v>
      </c>
      <c r="I12">
        <v>294.47000000000003</v>
      </c>
      <c r="J12">
        <v>447.31</v>
      </c>
      <c r="K12" s="19">
        <f t="shared" si="1"/>
        <v>4.9000000000000004</v>
      </c>
      <c r="M12" s="22"/>
      <c r="N12" s="3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">
      <c r="A13">
        <v>12</v>
      </c>
      <c r="B13" t="s">
        <v>120</v>
      </c>
      <c r="C13" t="s">
        <v>13</v>
      </c>
      <c r="D13">
        <v>69</v>
      </c>
      <c r="E13">
        <v>66</v>
      </c>
      <c r="F13">
        <v>74</v>
      </c>
      <c r="G13">
        <f t="shared" si="0"/>
        <v>48</v>
      </c>
      <c r="H13">
        <v>10</v>
      </c>
      <c r="I13">
        <v>311</v>
      </c>
      <c r="J13">
        <v>441.74</v>
      </c>
      <c r="K13" s="19">
        <f t="shared" si="1"/>
        <v>4.8</v>
      </c>
      <c r="M13" s="22"/>
      <c r="N13" s="30" t="s">
        <v>11</v>
      </c>
      <c r="O13" s="2" t="s">
        <v>155</v>
      </c>
      <c r="P13" s="2" t="s">
        <v>1</v>
      </c>
      <c r="Q13" s="2" t="s">
        <v>12</v>
      </c>
      <c r="R13" s="2" t="s">
        <v>14</v>
      </c>
      <c r="S13" s="2" t="s">
        <v>13</v>
      </c>
      <c r="T13" s="13"/>
      <c r="U13" s="13"/>
      <c r="V13" s="13"/>
      <c r="W13" s="13"/>
      <c r="X13" s="13"/>
      <c r="Y13" s="13"/>
    </row>
    <row r="14" spans="1:25" x14ac:dyDescent="0.2">
      <c r="A14">
        <v>13</v>
      </c>
      <c r="B14" t="s">
        <v>121</v>
      </c>
      <c r="C14" t="s">
        <v>13</v>
      </c>
      <c r="D14">
        <v>56</v>
      </c>
      <c r="E14">
        <v>54</v>
      </c>
      <c r="F14">
        <v>60</v>
      </c>
      <c r="G14">
        <f t="shared" si="0"/>
        <v>34</v>
      </c>
      <c r="H14">
        <v>10</v>
      </c>
      <c r="I14">
        <v>327.99</v>
      </c>
      <c r="J14">
        <v>441.2</v>
      </c>
      <c r="K14" s="19">
        <f t="shared" si="1"/>
        <v>3.4</v>
      </c>
      <c r="M14" s="22" t="s">
        <v>290</v>
      </c>
      <c r="N14" s="31"/>
      <c r="O14" s="13"/>
      <c r="P14" s="13" t="s">
        <v>127</v>
      </c>
      <c r="Q14" s="13"/>
      <c r="R14" s="13"/>
      <c r="S14" s="13"/>
      <c r="T14" s="13"/>
      <c r="U14" s="13"/>
      <c r="V14" s="13"/>
      <c r="W14" s="13"/>
      <c r="X14" s="13"/>
      <c r="Y14" s="13"/>
    </row>
    <row r="15" spans="1:25" x14ac:dyDescent="0.2">
      <c r="A15">
        <v>14</v>
      </c>
      <c r="B15" t="s">
        <v>112</v>
      </c>
      <c r="C15" t="s">
        <v>14</v>
      </c>
      <c r="D15">
        <v>15</v>
      </c>
      <c r="E15">
        <v>14</v>
      </c>
      <c r="F15">
        <v>16</v>
      </c>
      <c r="G15">
        <f>F15-24</f>
        <v>-8</v>
      </c>
      <c r="H15">
        <v>2.9</v>
      </c>
      <c r="I15">
        <v>762.51</v>
      </c>
      <c r="J15">
        <v>451.98</v>
      </c>
      <c r="K15" s="19">
        <f t="shared" si="1"/>
        <v>-2.7586206896551726</v>
      </c>
      <c r="M15" s="22"/>
      <c r="N15" s="31">
        <v>0.41666666666666669</v>
      </c>
      <c r="O15" s="13" t="s">
        <v>144</v>
      </c>
      <c r="P15" s="13" t="s">
        <v>40</v>
      </c>
      <c r="Q15" s="13"/>
      <c r="R15" s="13"/>
      <c r="S15" s="13">
        <v>162.1</v>
      </c>
      <c r="T15" s="13"/>
      <c r="U15" s="13"/>
      <c r="V15" s="13"/>
      <c r="W15" s="13"/>
      <c r="X15" s="13"/>
      <c r="Y15" s="13"/>
    </row>
    <row r="16" spans="1:25" x14ac:dyDescent="0.2">
      <c r="A16">
        <v>15</v>
      </c>
      <c r="B16" t="s">
        <v>113</v>
      </c>
      <c r="C16" t="s">
        <v>14</v>
      </c>
      <c r="D16">
        <v>33</v>
      </c>
      <c r="E16">
        <v>31</v>
      </c>
      <c r="F16">
        <v>34</v>
      </c>
      <c r="G16">
        <f t="shared" ref="G16:G17" si="2">F16-24</f>
        <v>10</v>
      </c>
      <c r="H16">
        <v>15.9</v>
      </c>
      <c r="I16">
        <v>664.78</v>
      </c>
      <c r="J16">
        <v>447.79</v>
      </c>
      <c r="K16" s="19">
        <f t="shared" si="1"/>
        <v>0.62893081761006286</v>
      </c>
      <c r="M16" s="22"/>
      <c r="N16" s="31">
        <v>0.4465277777777778</v>
      </c>
      <c r="O16" s="13" t="s">
        <v>145</v>
      </c>
      <c r="P16" s="13" t="s">
        <v>41</v>
      </c>
      <c r="Q16" s="13"/>
      <c r="R16" s="13"/>
      <c r="S16" s="13">
        <v>45.5</v>
      </c>
      <c r="T16" s="13"/>
      <c r="U16" s="13"/>
      <c r="V16" s="13"/>
      <c r="W16" s="27"/>
      <c r="X16" s="13"/>
      <c r="Y16" s="13"/>
    </row>
    <row r="17" spans="1:25" x14ac:dyDescent="0.2">
      <c r="A17">
        <v>16</v>
      </c>
      <c r="B17" t="s">
        <v>114</v>
      </c>
      <c r="C17" t="s">
        <v>14</v>
      </c>
      <c r="D17">
        <v>26</v>
      </c>
      <c r="E17">
        <v>24</v>
      </c>
      <c r="F17">
        <v>28</v>
      </c>
      <c r="G17">
        <f t="shared" si="2"/>
        <v>4</v>
      </c>
      <c r="H17">
        <v>11.1</v>
      </c>
      <c r="I17">
        <v>442.93</v>
      </c>
      <c r="J17">
        <v>440.25</v>
      </c>
      <c r="K17" s="19">
        <f t="shared" si="1"/>
        <v>0.3603603603603604</v>
      </c>
      <c r="N17" s="13">
        <v>0.45208333333333334</v>
      </c>
      <c r="O17" s="13" t="s">
        <v>146</v>
      </c>
      <c r="P17" s="13" t="s">
        <v>42</v>
      </c>
      <c r="Q17" s="13"/>
      <c r="R17" s="13"/>
      <c r="S17" s="13">
        <v>39.200000000000003</v>
      </c>
      <c r="T17" s="13"/>
      <c r="U17" s="13"/>
      <c r="V17" s="13"/>
      <c r="W17" s="27"/>
      <c r="X17" s="13"/>
      <c r="Y17" s="13"/>
    </row>
    <row r="18" spans="1:25" x14ac:dyDescent="0.2">
      <c r="A18" t="s">
        <v>122</v>
      </c>
      <c r="M18" s="22"/>
      <c r="N18" s="31">
        <v>0.45902777777777781</v>
      </c>
      <c r="O18" s="13" t="s">
        <v>147</v>
      </c>
      <c r="P18" s="13" t="s">
        <v>43</v>
      </c>
      <c r="Q18" s="13"/>
      <c r="R18" s="13"/>
      <c r="S18" s="13">
        <v>28.1</v>
      </c>
      <c r="T18" s="13"/>
      <c r="U18" s="13"/>
      <c r="V18" s="13"/>
      <c r="W18" s="27"/>
      <c r="X18" s="13"/>
      <c r="Y18" s="13"/>
    </row>
    <row r="19" spans="1:25" x14ac:dyDescent="0.2">
      <c r="A19">
        <v>18</v>
      </c>
      <c r="C19" t="s">
        <v>24</v>
      </c>
      <c r="D19">
        <v>33</v>
      </c>
      <c r="E19">
        <v>28</v>
      </c>
      <c r="F19">
        <v>35</v>
      </c>
      <c r="I19">
        <v>363.97</v>
      </c>
      <c r="J19">
        <v>413.54</v>
      </c>
      <c r="N19" s="13">
        <v>0.46597222222222223</v>
      </c>
      <c r="O19" s="13" t="s">
        <v>148</v>
      </c>
      <c r="P19" s="13" t="s">
        <v>44</v>
      </c>
      <c r="Q19" s="13"/>
      <c r="R19" s="13"/>
      <c r="S19" s="13">
        <v>22.7</v>
      </c>
      <c r="T19" s="13"/>
      <c r="U19" s="13"/>
      <c r="V19" s="13"/>
      <c r="W19" s="27"/>
      <c r="X19" s="13"/>
      <c r="Y19" s="13"/>
    </row>
    <row r="20" spans="1:25" x14ac:dyDescent="0.2">
      <c r="A20" t="s">
        <v>123</v>
      </c>
      <c r="M20" s="22"/>
      <c r="N20" s="31">
        <v>0.47500000000000003</v>
      </c>
      <c r="O20" s="13" t="s">
        <v>149</v>
      </c>
      <c r="P20" s="13" t="s">
        <v>45</v>
      </c>
      <c r="Q20" s="13"/>
      <c r="R20" s="13"/>
      <c r="S20" s="13">
        <v>17.3</v>
      </c>
      <c r="T20" s="13"/>
      <c r="U20" s="13"/>
      <c r="V20" s="13"/>
      <c r="W20" s="27"/>
      <c r="X20" s="13"/>
      <c r="Y20" s="13"/>
    </row>
    <row r="21" spans="1:25" x14ac:dyDescent="0.2">
      <c r="A21">
        <v>20</v>
      </c>
      <c r="B21" t="s">
        <v>115</v>
      </c>
      <c r="C21" t="s">
        <v>14</v>
      </c>
      <c r="D21">
        <v>26</v>
      </c>
      <c r="E21">
        <v>25</v>
      </c>
      <c r="F21">
        <v>27</v>
      </c>
      <c r="G21">
        <f>F21-24</f>
        <v>3</v>
      </c>
      <c r="H21">
        <v>15.6</v>
      </c>
      <c r="I21">
        <v>427.44</v>
      </c>
      <c r="J21">
        <v>443.73</v>
      </c>
      <c r="K21" s="19">
        <f>G21/H21</f>
        <v>0.19230769230769232</v>
      </c>
      <c r="M21" s="22"/>
      <c r="N21" s="31">
        <v>0.4861111111111111</v>
      </c>
      <c r="O21" s="13" t="s">
        <v>150</v>
      </c>
      <c r="P21" s="13" t="s">
        <v>46</v>
      </c>
      <c r="Q21" s="13"/>
      <c r="R21" s="13"/>
      <c r="S21" s="13">
        <v>12.5</v>
      </c>
      <c r="T21" s="13"/>
      <c r="U21" s="13"/>
      <c r="V21" s="13"/>
      <c r="W21" s="27"/>
      <c r="X21" s="13"/>
      <c r="Y21" s="13"/>
    </row>
    <row r="22" spans="1:25" x14ac:dyDescent="0.2">
      <c r="A22">
        <v>21</v>
      </c>
      <c r="B22" t="s">
        <v>116</v>
      </c>
      <c r="C22" t="s">
        <v>14</v>
      </c>
      <c r="D22">
        <v>43</v>
      </c>
      <c r="E22">
        <v>40</v>
      </c>
      <c r="F22">
        <v>46</v>
      </c>
      <c r="G22">
        <f t="shared" ref="G22:G27" si="3">F22-24</f>
        <v>22</v>
      </c>
      <c r="H22">
        <v>16</v>
      </c>
      <c r="I22">
        <v>417.08</v>
      </c>
      <c r="J22">
        <v>441.01</v>
      </c>
      <c r="K22" s="19">
        <f t="shared" ref="K22:K52" si="4">G22/H22</f>
        <v>1.375</v>
      </c>
      <c r="M22" s="22"/>
      <c r="N22" s="31">
        <v>0.49722222222222223</v>
      </c>
      <c r="O22" s="13" t="s">
        <v>151</v>
      </c>
      <c r="P22" s="13" t="s">
        <v>47</v>
      </c>
      <c r="Q22" s="13"/>
      <c r="R22" s="13"/>
      <c r="S22" s="13">
        <v>10.8</v>
      </c>
      <c r="T22" s="13"/>
      <c r="U22" s="13"/>
      <c r="V22" s="13"/>
      <c r="W22" s="27"/>
      <c r="X22" s="13"/>
      <c r="Y22" s="13"/>
    </row>
    <row r="23" spans="1:25" x14ac:dyDescent="0.2">
      <c r="A23">
        <v>22</v>
      </c>
      <c r="B23" t="s">
        <v>117</v>
      </c>
      <c r="C23" t="s">
        <v>14</v>
      </c>
      <c r="D23">
        <v>34</v>
      </c>
      <c r="E23">
        <v>32</v>
      </c>
      <c r="F23">
        <v>36</v>
      </c>
      <c r="G23">
        <f t="shared" si="3"/>
        <v>12</v>
      </c>
      <c r="H23">
        <v>11.5</v>
      </c>
      <c r="I23">
        <v>346.19</v>
      </c>
      <c r="J23">
        <v>449.87</v>
      </c>
      <c r="K23" s="19">
        <f t="shared" si="4"/>
        <v>1.0434782608695652</v>
      </c>
      <c r="M23" s="22"/>
      <c r="N23" s="31">
        <v>0.5131944444444444</v>
      </c>
      <c r="O23" s="13" t="s">
        <v>152</v>
      </c>
      <c r="P23" s="13" t="s">
        <v>53</v>
      </c>
      <c r="Q23" s="13"/>
      <c r="R23" s="13"/>
      <c r="S23" s="13">
        <v>8.1999999999999993</v>
      </c>
      <c r="T23" s="13"/>
      <c r="U23" s="13"/>
      <c r="V23" s="13"/>
      <c r="W23" s="27"/>
      <c r="X23" s="13"/>
      <c r="Y23" s="13"/>
    </row>
    <row r="24" spans="1:25" x14ac:dyDescent="0.2">
      <c r="A24">
        <v>23</v>
      </c>
      <c r="B24" t="s">
        <v>118</v>
      </c>
      <c r="C24" t="s">
        <v>14</v>
      </c>
      <c r="D24">
        <v>44</v>
      </c>
      <c r="E24">
        <v>42</v>
      </c>
      <c r="F24">
        <v>47</v>
      </c>
      <c r="G24">
        <f t="shared" si="3"/>
        <v>23</v>
      </c>
      <c r="H24">
        <v>18.100000000000001</v>
      </c>
      <c r="I24">
        <v>304.97000000000003</v>
      </c>
      <c r="J24">
        <v>440.39</v>
      </c>
      <c r="K24" s="19">
        <f t="shared" si="4"/>
        <v>1.2707182320441988</v>
      </c>
      <c r="M24" s="22"/>
      <c r="N24" s="31">
        <v>0.52916666666666667</v>
      </c>
      <c r="O24" s="13" t="s">
        <v>153</v>
      </c>
      <c r="P24" s="13" t="s">
        <v>70</v>
      </c>
      <c r="Q24" s="13"/>
      <c r="R24" s="13"/>
      <c r="S24" s="13">
        <v>8.5</v>
      </c>
      <c r="T24" s="13"/>
      <c r="U24" s="13"/>
      <c r="V24" s="13"/>
      <c r="W24" s="27"/>
      <c r="X24" s="13"/>
      <c r="Y24" s="13"/>
    </row>
    <row r="25" spans="1:25" x14ac:dyDescent="0.2">
      <c r="A25">
        <v>24</v>
      </c>
      <c r="B25" t="s">
        <v>119</v>
      </c>
      <c r="C25" t="s">
        <v>14</v>
      </c>
      <c r="D25">
        <v>40</v>
      </c>
      <c r="E25">
        <v>38</v>
      </c>
      <c r="F25">
        <v>42</v>
      </c>
      <c r="G25">
        <f t="shared" si="3"/>
        <v>18</v>
      </c>
      <c r="H25">
        <v>18.7</v>
      </c>
      <c r="I25">
        <v>461.15</v>
      </c>
      <c r="J25">
        <v>445.5</v>
      </c>
      <c r="K25" s="19">
        <f t="shared" si="4"/>
        <v>0.96256684491978617</v>
      </c>
      <c r="M25" s="22"/>
      <c r="N25" s="31">
        <v>0.53263888888888888</v>
      </c>
      <c r="O25" s="13" t="s">
        <v>154</v>
      </c>
      <c r="P25" s="13" t="s">
        <v>71</v>
      </c>
      <c r="Q25" s="14">
        <v>2.4234234234234231</v>
      </c>
      <c r="R25" s="14">
        <v>1.1801242236024845</v>
      </c>
      <c r="S25" s="13">
        <v>10.7</v>
      </c>
      <c r="T25" s="13"/>
      <c r="U25" s="13"/>
      <c r="V25" s="13"/>
      <c r="W25" s="27"/>
      <c r="X25" s="13"/>
      <c r="Y25" s="13"/>
    </row>
    <row r="26" spans="1:25" x14ac:dyDescent="0.2">
      <c r="A26">
        <v>25</v>
      </c>
      <c r="B26" t="s">
        <v>120</v>
      </c>
      <c r="C26" t="s">
        <v>14</v>
      </c>
      <c r="D26">
        <v>27</v>
      </c>
      <c r="E26">
        <v>27</v>
      </c>
      <c r="F26">
        <v>29</v>
      </c>
      <c r="G26">
        <f t="shared" si="3"/>
        <v>5</v>
      </c>
      <c r="H26">
        <v>6.1</v>
      </c>
      <c r="I26">
        <v>572.08000000000004</v>
      </c>
      <c r="J26">
        <v>451</v>
      </c>
      <c r="K26" s="19">
        <f t="shared" si="4"/>
        <v>0.81967213114754101</v>
      </c>
      <c r="M26" s="22"/>
      <c r="N26" s="3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x14ac:dyDescent="0.2">
      <c r="A27">
        <v>26</v>
      </c>
      <c r="B27" t="s">
        <v>121</v>
      </c>
      <c r="C27" t="s">
        <v>14</v>
      </c>
      <c r="D27">
        <v>37</v>
      </c>
      <c r="E27">
        <v>33</v>
      </c>
      <c r="F27">
        <v>39</v>
      </c>
      <c r="G27">
        <f t="shared" si="3"/>
        <v>15</v>
      </c>
      <c r="H27">
        <v>7.8</v>
      </c>
      <c r="I27">
        <v>505.21</v>
      </c>
      <c r="J27">
        <v>450.66</v>
      </c>
      <c r="K27" s="19">
        <f t="shared" si="4"/>
        <v>1.9230769230769231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x14ac:dyDescent="0.2">
      <c r="A28" t="s">
        <v>124</v>
      </c>
      <c r="M28" s="22"/>
      <c r="N28" s="3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x14ac:dyDescent="0.2">
      <c r="A29">
        <v>28</v>
      </c>
      <c r="B29" t="s">
        <v>112</v>
      </c>
      <c r="C29" t="s">
        <v>15</v>
      </c>
      <c r="D29">
        <v>15</v>
      </c>
      <c r="E29">
        <v>13</v>
      </c>
      <c r="F29">
        <v>15</v>
      </c>
      <c r="G29">
        <f>F29-24</f>
        <v>-9</v>
      </c>
      <c r="H29">
        <v>10</v>
      </c>
      <c r="I29">
        <v>971.18</v>
      </c>
      <c r="J29">
        <v>449.11</v>
      </c>
      <c r="K29" s="19">
        <f t="shared" si="4"/>
        <v>-0.9</v>
      </c>
      <c r="M29" s="22"/>
      <c r="N29" s="23"/>
    </row>
    <row r="30" spans="1:25" x14ac:dyDescent="0.2">
      <c r="A30">
        <v>29</v>
      </c>
      <c r="B30" t="s">
        <v>113</v>
      </c>
      <c r="C30" t="s">
        <v>15</v>
      </c>
      <c r="D30">
        <v>15</v>
      </c>
      <c r="E30">
        <v>14</v>
      </c>
      <c r="F30">
        <v>16</v>
      </c>
      <c r="G30">
        <f t="shared" ref="G30:G38" si="5">F30-24</f>
        <v>-8</v>
      </c>
      <c r="H30">
        <v>10</v>
      </c>
      <c r="I30">
        <v>699.63</v>
      </c>
      <c r="J30">
        <v>450.67</v>
      </c>
      <c r="K30" s="19">
        <f t="shared" si="4"/>
        <v>-0.8</v>
      </c>
      <c r="M30" s="22"/>
      <c r="N30" s="23"/>
    </row>
    <row r="31" spans="1:25" x14ac:dyDescent="0.2">
      <c r="A31">
        <v>30</v>
      </c>
      <c r="B31" t="s">
        <v>114</v>
      </c>
      <c r="C31" t="s">
        <v>15</v>
      </c>
      <c r="D31">
        <v>28</v>
      </c>
      <c r="E31">
        <v>26</v>
      </c>
      <c r="F31">
        <v>30</v>
      </c>
      <c r="G31">
        <f t="shared" si="5"/>
        <v>6</v>
      </c>
      <c r="H31">
        <v>10</v>
      </c>
      <c r="I31">
        <v>478.7</v>
      </c>
      <c r="J31">
        <v>450.25</v>
      </c>
      <c r="K31" s="19">
        <f t="shared" si="4"/>
        <v>0.6</v>
      </c>
      <c r="M31" s="22"/>
      <c r="N31" s="23"/>
    </row>
    <row r="32" spans="1:25" x14ac:dyDescent="0.2">
      <c r="A32">
        <v>31</v>
      </c>
      <c r="B32" t="s">
        <v>115</v>
      </c>
      <c r="C32" t="s">
        <v>15</v>
      </c>
      <c r="D32">
        <v>23</v>
      </c>
      <c r="E32">
        <v>21</v>
      </c>
      <c r="F32">
        <v>24</v>
      </c>
      <c r="G32">
        <f t="shared" si="5"/>
        <v>0</v>
      </c>
      <c r="H32">
        <v>10</v>
      </c>
      <c r="I32">
        <v>635.65</v>
      </c>
      <c r="J32">
        <v>447.46</v>
      </c>
      <c r="K32" s="19">
        <f t="shared" si="4"/>
        <v>0</v>
      </c>
      <c r="M32" s="22"/>
      <c r="N32" s="23"/>
    </row>
    <row r="33" spans="1:14" x14ac:dyDescent="0.2">
      <c r="A33">
        <v>32</v>
      </c>
      <c r="B33" t="s">
        <v>116</v>
      </c>
      <c r="C33" t="s">
        <v>15</v>
      </c>
      <c r="D33">
        <v>24</v>
      </c>
      <c r="E33">
        <v>23</v>
      </c>
      <c r="F33">
        <v>26</v>
      </c>
      <c r="G33">
        <f t="shared" si="5"/>
        <v>2</v>
      </c>
      <c r="H33">
        <v>10</v>
      </c>
      <c r="I33">
        <v>726.79</v>
      </c>
      <c r="J33">
        <v>447.46</v>
      </c>
      <c r="K33" s="19">
        <f t="shared" si="4"/>
        <v>0.2</v>
      </c>
      <c r="M33" s="22"/>
      <c r="N33" s="23"/>
    </row>
    <row r="34" spans="1:14" x14ac:dyDescent="0.2">
      <c r="A34">
        <v>33</v>
      </c>
      <c r="B34" t="s">
        <v>117</v>
      </c>
      <c r="C34" t="s">
        <v>15</v>
      </c>
      <c r="D34">
        <v>38</v>
      </c>
      <c r="E34">
        <v>37</v>
      </c>
      <c r="F34">
        <v>40</v>
      </c>
      <c r="G34">
        <f t="shared" si="5"/>
        <v>16</v>
      </c>
      <c r="H34">
        <v>10</v>
      </c>
      <c r="I34">
        <v>379.16</v>
      </c>
      <c r="J34">
        <v>450.72</v>
      </c>
      <c r="K34" s="19">
        <f t="shared" si="4"/>
        <v>1.6</v>
      </c>
      <c r="M34" s="22"/>
      <c r="N34" s="23"/>
    </row>
    <row r="35" spans="1:14" x14ac:dyDescent="0.2">
      <c r="A35">
        <v>34</v>
      </c>
      <c r="B35" t="s">
        <v>118</v>
      </c>
      <c r="C35" t="s">
        <v>15</v>
      </c>
      <c r="D35">
        <v>18</v>
      </c>
      <c r="E35">
        <v>17</v>
      </c>
      <c r="F35">
        <v>19</v>
      </c>
      <c r="G35">
        <f t="shared" si="5"/>
        <v>-5</v>
      </c>
      <c r="H35">
        <v>10</v>
      </c>
      <c r="I35">
        <v>814.04</v>
      </c>
      <c r="J35">
        <v>444.21</v>
      </c>
      <c r="K35" s="19">
        <f t="shared" si="4"/>
        <v>-0.5</v>
      </c>
      <c r="M35" s="22"/>
      <c r="N35" s="23"/>
    </row>
    <row r="36" spans="1:14" x14ac:dyDescent="0.2">
      <c r="A36">
        <v>35</v>
      </c>
      <c r="B36" t="s">
        <v>119</v>
      </c>
      <c r="C36" t="s">
        <v>15</v>
      </c>
      <c r="D36">
        <v>25</v>
      </c>
      <c r="E36">
        <v>22</v>
      </c>
      <c r="F36">
        <v>27</v>
      </c>
      <c r="G36">
        <f t="shared" si="5"/>
        <v>3</v>
      </c>
      <c r="H36">
        <v>10</v>
      </c>
      <c r="I36">
        <v>709.06</v>
      </c>
      <c r="J36">
        <v>449.38</v>
      </c>
      <c r="K36" s="19">
        <f t="shared" si="4"/>
        <v>0.3</v>
      </c>
      <c r="M36" s="22"/>
      <c r="N36" s="23"/>
    </row>
    <row r="37" spans="1:14" x14ac:dyDescent="0.2">
      <c r="A37">
        <v>36</v>
      </c>
      <c r="B37" t="s">
        <v>120</v>
      </c>
      <c r="C37" t="s">
        <v>15</v>
      </c>
      <c r="D37">
        <v>16</v>
      </c>
      <c r="E37">
        <v>14</v>
      </c>
      <c r="F37">
        <v>17</v>
      </c>
      <c r="G37">
        <f t="shared" si="5"/>
        <v>-7</v>
      </c>
      <c r="H37">
        <v>10</v>
      </c>
      <c r="I37">
        <v>774.16</v>
      </c>
      <c r="J37">
        <v>444.46</v>
      </c>
      <c r="K37" s="19">
        <f t="shared" si="4"/>
        <v>-0.7</v>
      </c>
      <c r="M37" s="22"/>
      <c r="N37" s="23"/>
    </row>
    <row r="38" spans="1:14" x14ac:dyDescent="0.2">
      <c r="A38">
        <v>37</v>
      </c>
      <c r="B38" t="s">
        <v>121</v>
      </c>
      <c r="C38" t="s">
        <v>15</v>
      </c>
      <c r="D38">
        <v>21</v>
      </c>
      <c r="E38">
        <v>19</v>
      </c>
      <c r="F38">
        <v>22</v>
      </c>
      <c r="G38">
        <f t="shared" si="5"/>
        <v>-2</v>
      </c>
      <c r="H38">
        <v>10</v>
      </c>
      <c r="I38">
        <v>631.54999999999995</v>
      </c>
      <c r="J38">
        <v>443.12</v>
      </c>
      <c r="K38" s="19">
        <f t="shared" si="4"/>
        <v>-0.2</v>
      </c>
    </row>
    <row r="39" spans="1:14" x14ac:dyDescent="0.2">
      <c r="A39" t="s">
        <v>125</v>
      </c>
    </row>
    <row r="40" spans="1:14" x14ac:dyDescent="0.2">
      <c r="A40" t="s">
        <v>126</v>
      </c>
      <c r="M40" s="22"/>
      <c r="N40" s="23"/>
    </row>
    <row r="41" spans="1:14" x14ac:dyDescent="0.2">
      <c r="A41">
        <v>40</v>
      </c>
      <c r="B41" t="s">
        <v>127</v>
      </c>
      <c r="C41" t="s">
        <v>84</v>
      </c>
      <c r="D41">
        <v>1555</v>
      </c>
      <c r="E41">
        <v>1530</v>
      </c>
      <c r="F41">
        <v>1647</v>
      </c>
      <c r="G41">
        <f>F41-26</f>
        <v>1621</v>
      </c>
      <c r="H41">
        <v>10</v>
      </c>
      <c r="I41">
        <v>85.72</v>
      </c>
      <c r="J41">
        <v>443.25</v>
      </c>
      <c r="K41" s="19">
        <f t="shared" si="4"/>
        <v>162.1</v>
      </c>
      <c r="M41" s="22"/>
      <c r="N41" s="23"/>
    </row>
    <row r="42" spans="1:14" x14ac:dyDescent="0.2">
      <c r="A42">
        <v>41</v>
      </c>
      <c r="B42" t="s">
        <v>127</v>
      </c>
      <c r="C42" t="s">
        <v>85</v>
      </c>
      <c r="D42">
        <v>455</v>
      </c>
      <c r="E42">
        <v>444</v>
      </c>
      <c r="F42">
        <v>481</v>
      </c>
      <c r="G42">
        <f t="shared" ref="G42:G51" si="6">F42-26</f>
        <v>455</v>
      </c>
      <c r="H42">
        <v>10</v>
      </c>
      <c r="I42">
        <v>113.36</v>
      </c>
      <c r="J42">
        <v>446.85</v>
      </c>
      <c r="K42" s="19">
        <f t="shared" si="4"/>
        <v>45.5</v>
      </c>
      <c r="M42" s="22"/>
      <c r="N42" s="23"/>
    </row>
    <row r="43" spans="1:14" x14ac:dyDescent="0.2">
      <c r="A43">
        <v>42</v>
      </c>
      <c r="B43" t="s">
        <v>127</v>
      </c>
      <c r="C43" t="s">
        <v>86</v>
      </c>
      <c r="D43">
        <v>395</v>
      </c>
      <c r="E43">
        <v>388</v>
      </c>
      <c r="F43">
        <v>418</v>
      </c>
      <c r="G43">
        <f t="shared" si="6"/>
        <v>392</v>
      </c>
      <c r="H43">
        <v>10</v>
      </c>
      <c r="I43">
        <v>119.47</v>
      </c>
      <c r="J43">
        <v>444.94</v>
      </c>
      <c r="K43" s="19">
        <f t="shared" si="4"/>
        <v>39.200000000000003</v>
      </c>
      <c r="M43" s="22"/>
      <c r="N43" s="23"/>
    </row>
    <row r="44" spans="1:14" x14ac:dyDescent="0.2">
      <c r="A44">
        <v>43</v>
      </c>
      <c r="B44" t="s">
        <v>127</v>
      </c>
      <c r="C44" t="s">
        <v>87</v>
      </c>
      <c r="D44">
        <v>290</v>
      </c>
      <c r="E44">
        <v>285</v>
      </c>
      <c r="F44">
        <v>307</v>
      </c>
      <c r="G44">
        <f t="shared" si="6"/>
        <v>281</v>
      </c>
      <c r="H44">
        <v>10</v>
      </c>
      <c r="I44">
        <v>164.3</v>
      </c>
      <c r="J44">
        <v>444.24</v>
      </c>
      <c r="K44" s="19">
        <f t="shared" si="4"/>
        <v>28.1</v>
      </c>
      <c r="M44" s="22"/>
      <c r="N44" s="23"/>
    </row>
    <row r="45" spans="1:14" x14ac:dyDescent="0.2">
      <c r="A45">
        <v>44</v>
      </c>
      <c r="B45" t="s">
        <v>127</v>
      </c>
      <c r="C45" t="s">
        <v>88</v>
      </c>
      <c r="D45">
        <v>239</v>
      </c>
      <c r="E45">
        <v>235</v>
      </c>
      <c r="F45">
        <v>253</v>
      </c>
      <c r="G45">
        <f t="shared" si="6"/>
        <v>227</v>
      </c>
      <c r="H45">
        <v>10</v>
      </c>
      <c r="I45">
        <v>128.93</v>
      </c>
      <c r="J45">
        <v>446.04</v>
      </c>
      <c r="K45" s="19">
        <f t="shared" si="4"/>
        <v>22.7</v>
      </c>
      <c r="M45" s="22"/>
      <c r="N45" s="23"/>
    </row>
    <row r="46" spans="1:14" x14ac:dyDescent="0.2">
      <c r="A46">
        <v>45</v>
      </c>
      <c r="B46" t="s">
        <v>127</v>
      </c>
      <c r="C46" t="s">
        <v>89</v>
      </c>
      <c r="D46">
        <v>188</v>
      </c>
      <c r="E46">
        <v>183</v>
      </c>
      <c r="F46">
        <v>199</v>
      </c>
      <c r="G46">
        <f t="shared" si="6"/>
        <v>173</v>
      </c>
      <c r="H46">
        <v>10</v>
      </c>
      <c r="I46">
        <v>149.25</v>
      </c>
      <c r="J46">
        <v>445.3</v>
      </c>
      <c r="K46" s="19">
        <f t="shared" si="4"/>
        <v>17.3</v>
      </c>
      <c r="M46" s="22"/>
      <c r="N46" s="23"/>
    </row>
    <row r="47" spans="1:14" x14ac:dyDescent="0.2">
      <c r="A47">
        <v>46</v>
      </c>
      <c r="B47" t="s">
        <v>127</v>
      </c>
      <c r="C47" t="s">
        <v>90</v>
      </c>
      <c r="D47">
        <v>142</v>
      </c>
      <c r="E47">
        <v>139</v>
      </c>
      <c r="F47">
        <v>151</v>
      </c>
      <c r="G47">
        <f t="shared" si="6"/>
        <v>125</v>
      </c>
      <c r="H47">
        <v>10</v>
      </c>
      <c r="I47">
        <v>207.32</v>
      </c>
      <c r="J47">
        <v>443.93</v>
      </c>
      <c r="K47" s="19">
        <f t="shared" si="4"/>
        <v>12.5</v>
      </c>
      <c r="M47" s="22"/>
      <c r="N47" s="23"/>
    </row>
    <row r="48" spans="1:14" x14ac:dyDescent="0.2">
      <c r="A48">
        <v>47</v>
      </c>
      <c r="B48" t="s">
        <v>127</v>
      </c>
      <c r="C48" t="s">
        <v>91</v>
      </c>
      <c r="D48">
        <v>126</v>
      </c>
      <c r="E48">
        <v>122</v>
      </c>
      <c r="F48">
        <v>134</v>
      </c>
      <c r="G48">
        <f t="shared" si="6"/>
        <v>108</v>
      </c>
      <c r="H48">
        <v>10</v>
      </c>
      <c r="I48">
        <v>215.8</v>
      </c>
      <c r="J48">
        <v>446.54</v>
      </c>
      <c r="K48" s="19">
        <f t="shared" si="4"/>
        <v>10.8</v>
      </c>
      <c r="M48" s="22"/>
      <c r="N48" s="23"/>
    </row>
    <row r="49" spans="1:14" x14ac:dyDescent="0.2">
      <c r="A49">
        <v>48</v>
      </c>
      <c r="B49" t="s">
        <v>127</v>
      </c>
      <c r="C49" t="s">
        <v>92</v>
      </c>
      <c r="D49">
        <v>102</v>
      </c>
      <c r="E49">
        <v>101</v>
      </c>
      <c r="F49">
        <v>108</v>
      </c>
      <c r="G49">
        <f t="shared" si="6"/>
        <v>82</v>
      </c>
      <c r="H49">
        <v>10</v>
      </c>
      <c r="I49">
        <v>259.77999999999997</v>
      </c>
      <c r="J49">
        <v>449.98</v>
      </c>
      <c r="K49" s="19">
        <f t="shared" si="4"/>
        <v>8.1999999999999993</v>
      </c>
      <c r="M49" s="22"/>
      <c r="N49" s="23"/>
    </row>
    <row r="50" spans="1:14" x14ac:dyDescent="0.2">
      <c r="A50">
        <v>49</v>
      </c>
      <c r="B50" t="s">
        <v>127</v>
      </c>
      <c r="C50" t="s">
        <v>93</v>
      </c>
      <c r="D50">
        <v>105</v>
      </c>
      <c r="E50">
        <v>104</v>
      </c>
      <c r="F50">
        <v>111</v>
      </c>
      <c r="G50">
        <f t="shared" si="6"/>
        <v>85</v>
      </c>
      <c r="H50">
        <v>10</v>
      </c>
      <c r="I50">
        <v>247.67</v>
      </c>
      <c r="J50">
        <v>447.67</v>
      </c>
      <c r="K50" s="19">
        <f t="shared" si="4"/>
        <v>8.5</v>
      </c>
      <c r="M50" s="22"/>
      <c r="N50" s="23"/>
    </row>
    <row r="51" spans="1:14" x14ac:dyDescent="0.2">
      <c r="A51">
        <v>50</v>
      </c>
      <c r="B51" t="s">
        <v>127</v>
      </c>
      <c r="C51" t="s">
        <v>94</v>
      </c>
      <c r="D51">
        <v>126</v>
      </c>
      <c r="E51">
        <v>121</v>
      </c>
      <c r="F51">
        <v>133</v>
      </c>
      <c r="G51">
        <f t="shared" si="6"/>
        <v>107</v>
      </c>
      <c r="H51">
        <v>10</v>
      </c>
      <c r="I51">
        <v>221.7</v>
      </c>
      <c r="J51">
        <v>445.82</v>
      </c>
      <c r="K51" s="19">
        <f t="shared" si="4"/>
        <v>10.7</v>
      </c>
      <c r="M51" s="22"/>
      <c r="N51" s="23"/>
    </row>
    <row r="52" spans="1:14" x14ac:dyDescent="0.2">
      <c r="A52">
        <v>51</v>
      </c>
      <c r="B52" t="s">
        <v>127</v>
      </c>
      <c r="C52" t="s">
        <v>14</v>
      </c>
      <c r="D52">
        <v>76</v>
      </c>
      <c r="E52">
        <v>74</v>
      </c>
      <c r="F52">
        <v>81</v>
      </c>
      <c r="G52">
        <f>F52-24</f>
        <v>57</v>
      </c>
      <c r="H52">
        <v>48.3</v>
      </c>
      <c r="I52">
        <v>259.3</v>
      </c>
      <c r="J52">
        <v>425.98</v>
      </c>
      <c r="K52" s="19">
        <f t="shared" si="4"/>
        <v>1.1801242236024845</v>
      </c>
      <c r="M52" s="22"/>
      <c r="N52" s="23"/>
    </row>
    <row r="53" spans="1:14" x14ac:dyDescent="0.2">
      <c r="A53">
        <v>52</v>
      </c>
      <c r="B53" t="s">
        <v>127</v>
      </c>
      <c r="C53" t="s">
        <v>51</v>
      </c>
      <c r="D53">
        <v>15182</v>
      </c>
      <c r="E53">
        <v>14931</v>
      </c>
      <c r="F53">
        <v>16053</v>
      </c>
      <c r="G53">
        <f>F53-24</f>
        <v>16029</v>
      </c>
      <c r="H53">
        <v>1</v>
      </c>
      <c r="I53">
        <v>81.47</v>
      </c>
      <c r="J53">
        <v>455.5</v>
      </c>
      <c r="K53" s="19">
        <f>G53*10</f>
        <v>160290</v>
      </c>
    </row>
    <row r="54" spans="1:14" x14ac:dyDescent="0.2">
      <c r="A54" t="s">
        <v>57</v>
      </c>
      <c r="M54" s="22"/>
      <c r="N54" s="23"/>
    </row>
    <row r="55" spans="1:14" x14ac:dyDescent="0.2">
      <c r="A55">
        <v>54</v>
      </c>
      <c r="C55" t="s">
        <v>20</v>
      </c>
      <c r="D55">
        <v>24</v>
      </c>
      <c r="E55">
        <v>23</v>
      </c>
      <c r="F55">
        <v>26</v>
      </c>
      <c r="I55">
        <v>802.44</v>
      </c>
      <c r="J55">
        <v>412.41</v>
      </c>
      <c r="M55" s="22"/>
      <c r="N55" s="23"/>
    </row>
    <row r="56" spans="1:14" x14ac:dyDescent="0.2">
      <c r="A56">
        <v>55</v>
      </c>
      <c r="C56" t="s">
        <v>56</v>
      </c>
      <c r="D56">
        <v>23</v>
      </c>
      <c r="E56">
        <v>20</v>
      </c>
      <c r="F56">
        <v>25</v>
      </c>
      <c r="H56">
        <v>17.2</v>
      </c>
      <c r="I56">
        <v>515.62</v>
      </c>
      <c r="J56">
        <v>285.95</v>
      </c>
    </row>
    <row r="57" spans="1:14" x14ac:dyDescent="0.2">
      <c r="A57" t="s">
        <v>128</v>
      </c>
    </row>
    <row r="58" spans="1:14" x14ac:dyDescent="0.2">
      <c r="A58" t="s">
        <v>129</v>
      </c>
      <c r="M58" s="22"/>
      <c r="N58" s="23"/>
    </row>
    <row r="59" spans="1:14" x14ac:dyDescent="0.2">
      <c r="A59">
        <v>58</v>
      </c>
      <c r="B59" t="s">
        <v>112</v>
      </c>
      <c r="C59" t="s">
        <v>59</v>
      </c>
      <c r="D59">
        <v>38</v>
      </c>
      <c r="E59">
        <v>37</v>
      </c>
      <c r="F59">
        <v>42</v>
      </c>
      <c r="G59">
        <f>F59-F73</f>
        <v>17</v>
      </c>
      <c r="H59">
        <v>30.2</v>
      </c>
      <c r="I59">
        <v>381.31</v>
      </c>
      <c r="J59">
        <v>278.7</v>
      </c>
      <c r="K59" s="19">
        <f>G59/H59</f>
        <v>0.5629139072847682</v>
      </c>
      <c r="M59" s="22"/>
      <c r="N59" s="23"/>
    </row>
    <row r="60" spans="1:14" x14ac:dyDescent="0.2">
      <c r="A60">
        <v>59</v>
      </c>
      <c r="B60" t="s">
        <v>113</v>
      </c>
      <c r="C60" t="s">
        <v>59</v>
      </c>
      <c r="D60">
        <v>33</v>
      </c>
      <c r="E60">
        <v>32</v>
      </c>
      <c r="F60">
        <v>36</v>
      </c>
      <c r="G60">
        <f t="shared" ref="G60:G71" si="7">F60-F74</f>
        <v>36</v>
      </c>
      <c r="H60">
        <v>22.3</v>
      </c>
      <c r="I60">
        <v>494.35</v>
      </c>
      <c r="J60">
        <v>314.72000000000003</v>
      </c>
      <c r="K60" s="19">
        <f t="shared" ref="K60:K71" si="8">G60/H60</f>
        <v>1.6143497757847534</v>
      </c>
      <c r="M60" s="22"/>
      <c r="N60" s="23"/>
    </row>
    <row r="61" spans="1:14" x14ac:dyDescent="0.2">
      <c r="A61">
        <v>60</v>
      </c>
      <c r="B61" t="s">
        <v>114</v>
      </c>
      <c r="C61" t="s">
        <v>59</v>
      </c>
      <c r="D61">
        <v>34</v>
      </c>
      <c r="E61">
        <v>34</v>
      </c>
      <c r="F61">
        <v>37</v>
      </c>
      <c r="G61">
        <f t="shared" si="7"/>
        <v>37</v>
      </c>
      <c r="H61">
        <v>18.399999999999999</v>
      </c>
      <c r="I61">
        <v>496.6</v>
      </c>
      <c r="J61">
        <v>313.37</v>
      </c>
      <c r="K61" s="19">
        <f t="shared" si="8"/>
        <v>2.0108695652173916</v>
      </c>
      <c r="M61" s="22"/>
      <c r="N61" s="23"/>
    </row>
    <row r="62" spans="1:14" x14ac:dyDescent="0.2">
      <c r="A62">
        <v>61</v>
      </c>
      <c r="B62" t="s">
        <v>115</v>
      </c>
      <c r="C62" t="s">
        <v>59</v>
      </c>
      <c r="D62">
        <v>27</v>
      </c>
      <c r="E62">
        <v>26</v>
      </c>
      <c r="F62">
        <v>29</v>
      </c>
      <c r="G62">
        <f t="shared" si="7"/>
        <v>29</v>
      </c>
      <c r="H62">
        <v>18.7</v>
      </c>
      <c r="I62">
        <v>427.35</v>
      </c>
      <c r="J62">
        <v>304.20999999999998</v>
      </c>
      <c r="K62" s="19">
        <f t="shared" si="8"/>
        <v>1.5508021390374331</v>
      </c>
      <c r="M62" s="22"/>
      <c r="N62" s="23"/>
    </row>
    <row r="63" spans="1:14" x14ac:dyDescent="0.2">
      <c r="A63">
        <v>62</v>
      </c>
      <c r="B63" t="s">
        <v>116</v>
      </c>
      <c r="C63" t="s">
        <v>59</v>
      </c>
      <c r="D63">
        <v>39</v>
      </c>
      <c r="E63">
        <v>38</v>
      </c>
      <c r="F63">
        <v>42</v>
      </c>
      <c r="G63">
        <f t="shared" si="7"/>
        <v>42</v>
      </c>
      <c r="H63">
        <v>24.3</v>
      </c>
      <c r="I63">
        <v>327.39999999999998</v>
      </c>
      <c r="J63">
        <v>291.75</v>
      </c>
      <c r="K63" s="19">
        <f t="shared" si="8"/>
        <v>1.728395061728395</v>
      </c>
      <c r="M63" s="22"/>
      <c r="N63" s="23"/>
    </row>
    <row r="64" spans="1:14" x14ac:dyDescent="0.2">
      <c r="A64">
        <v>63</v>
      </c>
      <c r="B64" t="s">
        <v>117</v>
      </c>
      <c r="C64" t="s">
        <v>59</v>
      </c>
      <c r="D64">
        <v>39</v>
      </c>
      <c r="E64">
        <v>38</v>
      </c>
      <c r="F64">
        <v>43</v>
      </c>
      <c r="G64">
        <f t="shared" si="7"/>
        <v>43</v>
      </c>
      <c r="H64">
        <v>28.5</v>
      </c>
      <c r="I64">
        <v>481.63</v>
      </c>
      <c r="J64">
        <v>309.24</v>
      </c>
      <c r="K64" s="19">
        <f t="shared" si="8"/>
        <v>1.5087719298245614</v>
      </c>
      <c r="M64" s="22"/>
      <c r="N64" s="23"/>
    </row>
    <row r="65" spans="1:14" x14ac:dyDescent="0.2">
      <c r="A65">
        <v>64</v>
      </c>
      <c r="B65" t="s">
        <v>118</v>
      </c>
      <c r="C65" t="s">
        <v>59</v>
      </c>
      <c r="D65">
        <v>38</v>
      </c>
      <c r="E65">
        <v>38</v>
      </c>
      <c r="F65">
        <v>42</v>
      </c>
      <c r="G65">
        <f t="shared" si="7"/>
        <v>42</v>
      </c>
      <c r="H65">
        <v>24.3</v>
      </c>
      <c r="I65">
        <v>369.62</v>
      </c>
      <c r="J65">
        <v>293.12</v>
      </c>
      <c r="K65" s="19">
        <f t="shared" si="8"/>
        <v>1.728395061728395</v>
      </c>
      <c r="M65" s="22"/>
      <c r="N65" s="23"/>
    </row>
    <row r="66" spans="1:14" x14ac:dyDescent="0.2">
      <c r="A66">
        <v>65</v>
      </c>
      <c r="B66" t="s">
        <v>119</v>
      </c>
      <c r="C66" t="s">
        <v>59</v>
      </c>
      <c r="D66">
        <v>41</v>
      </c>
      <c r="E66">
        <v>40</v>
      </c>
      <c r="F66">
        <v>45</v>
      </c>
      <c r="G66">
        <f t="shared" si="7"/>
        <v>45</v>
      </c>
      <c r="H66">
        <v>22.7</v>
      </c>
      <c r="I66">
        <v>461.24</v>
      </c>
      <c r="J66">
        <v>305.24</v>
      </c>
      <c r="K66" s="19">
        <f t="shared" si="8"/>
        <v>1.9823788546255507</v>
      </c>
      <c r="M66" s="22"/>
      <c r="N66" s="23"/>
    </row>
    <row r="67" spans="1:14" x14ac:dyDescent="0.2">
      <c r="A67">
        <v>66</v>
      </c>
      <c r="B67" t="s">
        <v>120</v>
      </c>
      <c r="C67" t="s">
        <v>59</v>
      </c>
      <c r="D67">
        <v>45</v>
      </c>
      <c r="E67">
        <v>44</v>
      </c>
      <c r="F67">
        <v>49</v>
      </c>
      <c r="G67">
        <f t="shared" si="7"/>
        <v>49</v>
      </c>
      <c r="H67">
        <v>17.100000000000001</v>
      </c>
      <c r="I67">
        <v>303.92</v>
      </c>
      <c r="J67">
        <v>299.20999999999998</v>
      </c>
      <c r="K67" s="19">
        <f t="shared" si="8"/>
        <v>2.8654970760233915</v>
      </c>
      <c r="M67" s="22"/>
      <c r="N67" s="23"/>
    </row>
    <row r="68" spans="1:14" x14ac:dyDescent="0.2">
      <c r="A68">
        <v>67</v>
      </c>
      <c r="B68" t="s">
        <v>121</v>
      </c>
      <c r="C68" t="s">
        <v>59</v>
      </c>
      <c r="D68">
        <v>40</v>
      </c>
      <c r="E68">
        <v>39</v>
      </c>
      <c r="F68">
        <v>44</v>
      </c>
      <c r="G68">
        <f t="shared" si="7"/>
        <v>44</v>
      </c>
      <c r="H68">
        <v>22.9</v>
      </c>
      <c r="I68">
        <v>338</v>
      </c>
      <c r="J68">
        <v>300.94</v>
      </c>
      <c r="K68" s="19">
        <f t="shared" si="8"/>
        <v>1.9213973799126638</v>
      </c>
    </row>
    <row r="69" spans="1:14" x14ac:dyDescent="0.2">
      <c r="A69" t="s">
        <v>130</v>
      </c>
      <c r="M69" s="22"/>
      <c r="N69" s="23"/>
    </row>
    <row r="70" spans="1:14" x14ac:dyDescent="0.2">
      <c r="A70">
        <v>69</v>
      </c>
      <c r="B70" t="s">
        <v>127</v>
      </c>
      <c r="C70" t="s">
        <v>59</v>
      </c>
      <c r="D70">
        <v>33</v>
      </c>
      <c r="E70">
        <v>31</v>
      </c>
      <c r="F70">
        <v>36</v>
      </c>
      <c r="G70">
        <f t="shared" si="7"/>
        <v>36</v>
      </c>
      <c r="H70">
        <v>10.8</v>
      </c>
      <c r="I70">
        <v>393.01</v>
      </c>
      <c r="J70">
        <v>306.48</v>
      </c>
      <c r="K70" s="19">
        <f t="shared" si="8"/>
        <v>3.333333333333333</v>
      </c>
      <c r="M70" s="11">
        <f>AVERAGE(K70:K71)</f>
        <v>2.4234234234234231</v>
      </c>
      <c r="N70" s="23"/>
    </row>
    <row r="71" spans="1:14" x14ac:dyDescent="0.2">
      <c r="A71">
        <v>70</v>
      </c>
      <c r="B71" t="s">
        <v>127</v>
      </c>
      <c r="C71" t="s">
        <v>58</v>
      </c>
      <c r="D71">
        <v>26</v>
      </c>
      <c r="E71">
        <v>25</v>
      </c>
      <c r="F71">
        <v>28</v>
      </c>
      <c r="G71">
        <f t="shared" si="7"/>
        <v>28</v>
      </c>
      <c r="H71">
        <v>18.5</v>
      </c>
      <c r="I71">
        <v>489.22</v>
      </c>
      <c r="J71">
        <v>312.14999999999998</v>
      </c>
      <c r="K71" s="19">
        <f t="shared" si="8"/>
        <v>1.5135135135135136</v>
      </c>
    </row>
    <row r="72" spans="1:14" x14ac:dyDescent="0.2">
      <c r="A72" t="s">
        <v>131</v>
      </c>
      <c r="M72" s="22"/>
      <c r="N72" s="23"/>
    </row>
    <row r="73" spans="1:14" x14ac:dyDescent="0.2">
      <c r="A73">
        <v>72</v>
      </c>
      <c r="C73" t="s">
        <v>56</v>
      </c>
      <c r="D73">
        <v>23</v>
      </c>
      <c r="E73">
        <v>22</v>
      </c>
      <c r="F73">
        <v>25</v>
      </c>
      <c r="H73">
        <v>23</v>
      </c>
      <c r="I73">
        <v>440.85</v>
      </c>
      <c r="J73">
        <v>248.01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7A882-98A1-5B4C-8622-AA9CBF3D307D}">
  <dimension ref="A1:W43"/>
  <sheetViews>
    <sheetView topLeftCell="D1" workbookViewId="0">
      <selection activeCell="T34" sqref="T34"/>
    </sheetView>
  </sheetViews>
  <sheetFormatPr baseColWidth="10" defaultRowHeight="16" x14ac:dyDescent="0.2"/>
  <sheetData>
    <row r="1" spans="1:23" s="2" customFormat="1" x14ac:dyDescent="0.2">
      <c r="A1" s="1" t="s">
        <v>0</v>
      </c>
      <c r="B1" s="1" t="s">
        <v>96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M1"/>
      <c r="N1"/>
      <c r="O1" s="21" t="s">
        <v>10</v>
      </c>
      <c r="P1" s="21"/>
      <c r="Q1" s="21"/>
      <c r="R1" s="21"/>
      <c r="S1"/>
      <c r="T1"/>
      <c r="U1"/>
      <c r="V1"/>
      <c r="W1"/>
    </row>
    <row r="2" spans="1:23" x14ac:dyDescent="0.2">
      <c r="A2">
        <v>1</v>
      </c>
      <c r="B2" t="s">
        <v>97</v>
      </c>
      <c r="C2" t="s">
        <v>13</v>
      </c>
      <c r="D2">
        <v>183</v>
      </c>
      <c r="E2">
        <v>176</v>
      </c>
      <c r="F2">
        <v>195</v>
      </c>
      <c r="G2">
        <f>F2-21</f>
        <v>174</v>
      </c>
      <c r="H2">
        <v>10</v>
      </c>
      <c r="I2">
        <v>138.25</v>
      </c>
      <c r="J2">
        <v>427.75</v>
      </c>
      <c r="K2" s="3">
        <f>G2/H2</f>
        <v>17.399999999999999</v>
      </c>
      <c r="M2" t="s">
        <v>11</v>
      </c>
      <c r="N2" s="2" t="s">
        <v>1</v>
      </c>
      <c r="O2" s="2" t="s">
        <v>12</v>
      </c>
      <c r="P2" s="2" t="s">
        <v>13</v>
      </c>
      <c r="Q2" s="2" t="s">
        <v>14</v>
      </c>
      <c r="R2" s="2" t="s">
        <v>16</v>
      </c>
      <c r="S2" s="2"/>
      <c r="T2" s="2" t="s">
        <v>18</v>
      </c>
      <c r="U2" s="2" t="s">
        <v>17</v>
      </c>
      <c r="V2" s="2" t="s">
        <v>19</v>
      </c>
    </row>
    <row r="3" spans="1:23" x14ac:dyDescent="0.2">
      <c r="A3">
        <v>2</v>
      </c>
      <c r="B3" t="s">
        <v>98</v>
      </c>
      <c r="C3" t="s">
        <v>13</v>
      </c>
      <c r="D3">
        <v>173</v>
      </c>
      <c r="E3">
        <v>167</v>
      </c>
      <c r="F3">
        <v>183</v>
      </c>
      <c r="G3">
        <f t="shared" ref="G3:G7" si="0">F3-21</f>
        <v>162</v>
      </c>
      <c r="H3">
        <v>10</v>
      </c>
      <c r="I3">
        <v>171.04</v>
      </c>
      <c r="J3">
        <v>423.3</v>
      </c>
      <c r="K3" s="3">
        <f t="shared" ref="K3:K7" si="1">G3/H3</f>
        <v>16.2</v>
      </c>
      <c r="M3">
        <v>33</v>
      </c>
      <c r="N3" s="20" t="s">
        <v>97</v>
      </c>
      <c r="O3" s="3">
        <v>5.234375</v>
      </c>
      <c r="P3">
        <v>17.399999999999999</v>
      </c>
      <c r="Q3" s="3">
        <v>6.4754098360655741</v>
      </c>
      <c r="R3" s="3">
        <v>65700</v>
      </c>
      <c r="T3" s="4">
        <v>0.3721499905784813</v>
      </c>
      <c r="U3" s="4">
        <v>0.3008261494252874</v>
      </c>
      <c r="V3" s="5">
        <v>2.6484018264840179E-4</v>
      </c>
    </row>
    <row r="4" spans="1:23" x14ac:dyDescent="0.2">
      <c r="A4">
        <v>3</v>
      </c>
      <c r="B4" t="s">
        <v>99</v>
      </c>
      <c r="C4" t="s">
        <v>13</v>
      </c>
      <c r="D4">
        <v>145</v>
      </c>
      <c r="E4">
        <v>142</v>
      </c>
      <c r="F4">
        <v>154</v>
      </c>
      <c r="G4">
        <f t="shared" si="0"/>
        <v>133</v>
      </c>
      <c r="H4">
        <v>10</v>
      </c>
      <c r="I4">
        <v>139.36000000000001</v>
      </c>
      <c r="J4">
        <v>427.44</v>
      </c>
      <c r="K4" s="3">
        <f t="shared" si="1"/>
        <v>13.3</v>
      </c>
      <c r="M4">
        <v>48</v>
      </c>
      <c r="N4" s="20" t="s">
        <v>98</v>
      </c>
      <c r="O4" s="3">
        <v>5.7386363636363633</v>
      </c>
      <c r="P4">
        <v>16.2</v>
      </c>
      <c r="Q4" s="3">
        <v>4.8936170212765955</v>
      </c>
      <c r="T4" s="4">
        <v>0.30207512477016024</v>
      </c>
      <c r="U4" s="4">
        <v>0.35423681257014589</v>
      </c>
      <c r="V4" s="5">
        <v>2.4657534246575342E-4</v>
      </c>
    </row>
    <row r="5" spans="1:23" x14ac:dyDescent="0.2">
      <c r="A5">
        <v>4</v>
      </c>
      <c r="B5" t="s">
        <v>100</v>
      </c>
      <c r="C5" t="s">
        <v>13</v>
      </c>
      <c r="D5">
        <v>175</v>
      </c>
      <c r="E5">
        <v>170</v>
      </c>
      <c r="F5">
        <v>186</v>
      </c>
      <c r="G5">
        <f t="shared" si="0"/>
        <v>165</v>
      </c>
      <c r="H5">
        <v>10</v>
      </c>
      <c r="I5">
        <v>167.73</v>
      </c>
      <c r="J5">
        <v>430.41</v>
      </c>
      <c r="K5" s="3">
        <f t="shared" si="1"/>
        <v>16.5</v>
      </c>
      <c r="M5">
        <v>60</v>
      </c>
      <c r="N5" s="20" t="s">
        <v>99</v>
      </c>
      <c r="O5" s="3">
        <v>4.7488038277511961</v>
      </c>
      <c r="P5">
        <v>13.3</v>
      </c>
      <c r="Q5" s="3">
        <v>4.9438202247191008</v>
      </c>
      <c r="T5" s="4">
        <v>0.37171580636985718</v>
      </c>
      <c r="U5" s="4">
        <v>0.35705291937978917</v>
      </c>
      <c r="V5" s="5">
        <v>2.0243531202435313E-4</v>
      </c>
    </row>
    <row r="6" spans="1:23" x14ac:dyDescent="0.2">
      <c r="A6">
        <v>5</v>
      </c>
      <c r="B6" t="s">
        <v>101</v>
      </c>
      <c r="C6" t="s">
        <v>13</v>
      </c>
      <c r="D6">
        <v>172</v>
      </c>
      <c r="E6">
        <v>167</v>
      </c>
      <c r="F6">
        <v>183</v>
      </c>
      <c r="G6">
        <f t="shared" si="0"/>
        <v>162</v>
      </c>
      <c r="H6">
        <v>10</v>
      </c>
      <c r="I6">
        <v>152.75</v>
      </c>
      <c r="J6">
        <v>425.15</v>
      </c>
      <c r="K6" s="3">
        <f t="shared" si="1"/>
        <v>16.2</v>
      </c>
      <c r="M6">
        <v>68</v>
      </c>
      <c r="N6" s="20" t="s">
        <v>100</v>
      </c>
      <c r="O6" s="3">
        <v>5.6735159817351599</v>
      </c>
      <c r="P6">
        <v>16.5</v>
      </c>
      <c r="Q6" s="3">
        <v>5.5913978494623651</v>
      </c>
      <c r="T6" s="4">
        <v>0.33887259693711302</v>
      </c>
      <c r="U6" s="4">
        <v>0.34384945343849455</v>
      </c>
      <c r="V6" s="5">
        <v>2.511415525114155E-4</v>
      </c>
    </row>
    <row r="7" spans="1:23" x14ac:dyDescent="0.2">
      <c r="A7">
        <v>6</v>
      </c>
      <c r="B7" t="s">
        <v>102</v>
      </c>
      <c r="C7" t="s">
        <v>13</v>
      </c>
      <c r="D7">
        <v>218</v>
      </c>
      <c r="E7">
        <v>214</v>
      </c>
      <c r="F7">
        <v>231</v>
      </c>
      <c r="G7">
        <f t="shared" si="0"/>
        <v>210</v>
      </c>
      <c r="H7">
        <v>10</v>
      </c>
      <c r="I7">
        <v>147.32</v>
      </c>
      <c r="J7">
        <v>427.72</v>
      </c>
      <c r="K7" s="3">
        <f t="shared" si="1"/>
        <v>21</v>
      </c>
      <c r="M7">
        <v>82</v>
      </c>
      <c r="N7" s="20" t="s">
        <v>101</v>
      </c>
      <c r="O7" s="3">
        <v>7.109375</v>
      </c>
      <c r="P7">
        <v>16.2</v>
      </c>
      <c r="Q7" s="3"/>
      <c r="T7" s="4"/>
      <c r="U7" s="4">
        <v>0.43885030864197533</v>
      </c>
      <c r="V7" s="5">
        <v>2.4657534246575342E-4</v>
      </c>
    </row>
    <row r="8" spans="1:23" x14ac:dyDescent="0.2">
      <c r="A8" t="s">
        <v>103</v>
      </c>
      <c r="M8" s="6">
        <v>124</v>
      </c>
      <c r="N8" s="20" t="s">
        <v>102</v>
      </c>
      <c r="O8" s="3">
        <v>8.2624999999999993</v>
      </c>
      <c r="P8" s="3">
        <v>21</v>
      </c>
      <c r="Q8" s="3">
        <v>6.8148148148148149</v>
      </c>
      <c r="T8" s="4">
        <v>0.32451499118165783</v>
      </c>
      <c r="U8" s="4">
        <v>0.39345238095238094</v>
      </c>
      <c r="V8" s="5">
        <v>3.1963470319634703E-4</v>
      </c>
    </row>
    <row r="9" spans="1:23" x14ac:dyDescent="0.2">
      <c r="A9">
        <v>8</v>
      </c>
      <c r="B9" t="s">
        <v>104</v>
      </c>
      <c r="C9" t="s">
        <v>40</v>
      </c>
      <c r="D9">
        <v>1505</v>
      </c>
      <c r="E9">
        <v>1464</v>
      </c>
      <c r="F9">
        <v>1595</v>
      </c>
      <c r="G9">
        <f>F9-21</f>
        <v>1574</v>
      </c>
      <c r="H9">
        <v>10</v>
      </c>
      <c r="I9">
        <v>75.61</v>
      </c>
      <c r="J9">
        <v>439.56</v>
      </c>
      <c r="K9">
        <f>G9/H9</f>
        <v>157.4</v>
      </c>
    </row>
    <row r="10" spans="1:23" x14ac:dyDescent="0.2">
      <c r="A10">
        <v>9</v>
      </c>
      <c r="B10" t="s">
        <v>104</v>
      </c>
      <c r="C10" t="s">
        <v>41</v>
      </c>
      <c r="D10">
        <v>1368</v>
      </c>
      <c r="E10">
        <v>1338</v>
      </c>
      <c r="F10">
        <v>1450</v>
      </c>
      <c r="G10">
        <f t="shared" ref="G10:G14" si="2">F10-21</f>
        <v>1429</v>
      </c>
      <c r="H10">
        <v>10</v>
      </c>
      <c r="I10">
        <v>84.3</v>
      </c>
      <c r="J10">
        <v>438.52</v>
      </c>
      <c r="K10">
        <f t="shared" ref="K10:K21" si="3">G10/H10</f>
        <v>142.9</v>
      </c>
      <c r="N10" s="20" t="s">
        <v>33</v>
      </c>
      <c r="O10" s="3">
        <v>6.127867695520453</v>
      </c>
      <c r="P10" s="3">
        <v>16.766666666666666</v>
      </c>
      <c r="Q10" s="3">
        <v>5.7438119492676902</v>
      </c>
      <c r="R10" s="3"/>
      <c r="S10" s="3"/>
      <c r="T10" s="4">
        <v>0.34186570196745392</v>
      </c>
      <c r="U10" s="4">
        <v>0.36471133740134554</v>
      </c>
      <c r="V10" s="4">
        <v>2.5520040588533741E-4</v>
      </c>
    </row>
    <row r="11" spans="1:23" x14ac:dyDescent="0.2">
      <c r="A11">
        <v>10</v>
      </c>
      <c r="B11" t="s">
        <v>104</v>
      </c>
      <c r="C11" t="s">
        <v>42</v>
      </c>
      <c r="D11">
        <v>1057</v>
      </c>
      <c r="E11">
        <v>1022</v>
      </c>
      <c r="F11">
        <v>1120</v>
      </c>
      <c r="G11">
        <f t="shared" si="2"/>
        <v>1099</v>
      </c>
      <c r="H11">
        <v>10</v>
      </c>
      <c r="I11">
        <v>73.709999999999994</v>
      </c>
      <c r="J11">
        <v>439.39</v>
      </c>
      <c r="K11">
        <f t="shared" si="3"/>
        <v>109.9</v>
      </c>
    </row>
    <row r="12" spans="1:23" x14ac:dyDescent="0.2">
      <c r="A12">
        <v>11</v>
      </c>
      <c r="B12" t="s">
        <v>104</v>
      </c>
      <c r="C12" t="s">
        <v>43</v>
      </c>
      <c r="D12">
        <v>887</v>
      </c>
      <c r="E12">
        <v>866</v>
      </c>
      <c r="F12">
        <v>940</v>
      </c>
      <c r="G12">
        <f t="shared" si="2"/>
        <v>919</v>
      </c>
      <c r="H12">
        <v>10</v>
      </c>
      <c r="I12">
        <v>79.849999999999994</v>
      </c>
      <c r="J12">
        <v>436.79</v>
      </c>
      <c r="K12">
        <f t="shared" si="3"/>
        <v>91.9</v>
      </c>
      <c r="T12" s="2"/>
      <c r="U12" s="2"/>
    </row>
    <row r="13" spans="1:23" x14ac:dyDescent="0.2">
      <c r="A13">
        <v>12</v>
      </c>
      <c r="B13" t="s">
        <v>104</v>
      </c>
      <c r="C13" t="s">
        <v>44</v>
      </c>
      <c r="D13">
        <v>873</v>
      </c>
      <c r="E13">
        <v>847</v>
      </c>
      <c r="F13">
        <v>925</v>
      </c>
      <c r="G13">
        <f t="shared" si="2"/>
        <v>904</v>
      </c>
      <c r="H13">
        <v>10</v>
      </c>
      <c r="I13">
        <v>73.98</v>
      </c>
      <c r="J13">
        <v>437.68</v>
      </c>
      <c r="K13">
        <f t="shared" si="3"/>
        <v>90.4</v>
      </c>
      <c r="M13">
        <v>31</v>
      </c>
      <c r="N13" s="20" t="s">
        <v>104</v>
      </c>
      <c r="P13">
        <v>157.4</v>
      </c>
      <c r="T13" s="4"/>
      <c r="U13" s="4"/>
      <c r="V13" s="5"/>
    </row>
    <row r="14" spans="1:23" x14ac:dyDescent="0.2">
      <c r="A14">
        <v>13</v>
      </c>
      <c r="B14" t="s">
        <v>104</v>
      </c>
      <c r="C14" t="s">
        <v>45</v>
      </c>
      <c r="D14">
        <v>653</v>
      </c>
      <c r="E14">
        <v>630</v>
      </c>
      <c r="F14">
        <v>692</v>
      </c>
      <c r="G14">
        <f t="shared" si="2"/>
        <v>671</v>
      </c>
      <c r="H14">
        <v>10</v>
      </c>
      <c r="I14">
        <v>73.38</v>
      </c>
      <c r="J14">
        <v>438.43</v>
      </c>
      <c r="K14">
        <f t="shared" si="3"/>
        <v>67.099999999999994</v>
      </c>
      <c r="M14">
        <v>43</v>
      </c>
      <c r="P14">
        <v>142.9</v>
      </c>
      <c r="T14" s="4"/>
      <c r="U14" s="4"/>
      <c r="V14" s="5"/>
    </row>
    <row r="15" spans="1:23" x14ac:dyDescent="0.2">
      <c r="A15" t="s">
        <v>105</v>
      </c>
      <c r="M15">
        <v>58</v>
      </c>
      <c r="P15">
        <v>109.9</v>
      </c>
      <c r="T15" s="4"/>
      <c r="U15" s="4"/>
      <c r="V15" s="5"/>
    </row>
    <row r="16" spans="1:23" x14ac:dyDescent="0.2">
      <c r="A16">
        <v>15</v>
      </c>
      <c r="B16" t="s">
        <v>97</v>
      </c>
      <c r="C16" t="s">
        <v>14</v>
      </c>
      <c r="D16">
        <v>93</v>
      </c>
      <c r="E16">
        <v>89</v>
      </c>
      <c r="F16">
        <v>99</v>
      </c>
      <c r="G16">
        <f>F16-20</f>
        <v>79</v>
      </c>
      <c r="H16">
        <v>12.2</v>
      </c>
      <c r="I16">
        <v>172.43</v>
      </c>
      <c r="J16">
        <v>435.99</v>
      </c>
      <c r="K16" s="3">
        <f t="shared" si="3"/>
        <v>6.4754098360655741</v>
      </c>
      <c r="M16">
        <v>67</v>
      </c>
      <c r="P16">
        <v>91.9</v>
      </c>
      <c r="T16" s="4"/>
      <c r="U16" s="4"/>
      <c r="V16" s="5"/>
    </row>
    <row r="17" spans="1:22" x14ac:dyDescent="0.2">
      <c r="A17">
        <v>16</v>
      </c>
      <c r="B17" t="s">
        <v>98</v>
      </c>
      <c r="C17" t="s">
        <v>14</v>
      </c>
      <c r="D17">
        <v>41</v>
      </c>
      <c r="E17">
        <v>39</v>
      </c>
      <c r="F17">
        <v>43</v>
      </c>
      <c r="G17">
        <f t="shared" ref="G17:G21" si="4">F17-20</f>
        <v>23</v>
      </c>
      <c r="H17">
        <v>4.7</v>
      </c>
      <c r="I17">
        <v>375.38</v>
      </c>
      <c r="J17">
        <v>435.11</v>
      </c>
      <c r="K17" s="3">
        <f t="shared" si="3"/>
        <v>4.8936170212765955</v>
      </c>
      <c r="M17">
        <v>79</v>
      </c>
      <c r="P17">
        <v>90.4</v>
      </c>
      <c r="T17" s="4"/>
      <c r="U17" s="4"/>
      <c r="V17" s="5"/>
    </row>
    <row r="18" spans="1:22" x14ac:dyDescent="0.2">
      <c r="A18">
        <v>17</v>
      </c>
      <c r="B18" t="s">
        <v>99</v>
      </c>
      <c r="C18" t="s">
        <v>14</v>
      </c>
      <c r="D18">
        <v>61</v>
      </c>
      <c r="E18">
        <v>59</v>
      </c>
      <c r="F18">
        <v>64</v>
      </c>
      <c r="G18">
        <f t="shared" si="4"/>
        <v>44</v>
      </c>
      <c r="H18">
        <v>8.9</v>
      </c>
      <c r="I18">
        <v>261.02</v>
      </c>
      <c r="J18">
        <v>436.4</v>
      </c>
      <c r="K18" s="3">
        <f t="shared" si="3"/>
        <v>4.9438202247191008</v>
      </c>
      <c r="M18">
        <v>92</v>
      </c>
      <c r="O18">
        <v>15.4</v>
      </c>
      <c r="P18">
        <v>67.099999999999994</v>
      </c>
      <c r="T18" s="4"/>
      <c r="U18" s="4"/>
      <c r="V18" s="5"/>
    </row>
    <row r="19" spans="1:22" x14ac:dyDescent="0.2">
      <c r="A19">
        <v>18</v>
      </c>
      <c r="B19" t="s">
        <v>100</v>
      </c>
      <c r="C19" t="s">
        <v>14</v>
      </c>
      <c r="D19">
        <v>68</v>
      </c>
      <c r="E19">
        <v>65</v>
      </c>
      <c r="F19">
        <v>72</v>
      </c>
      <c r="G19">
        <f t="shared" si="4"/>
        <v>52</v>
      </c>
      <c r="H19">
        <v>9.3000000000000007</v>
      </c>
      <c r="I19">
        <v>367.51</v>
      </c>
      <c r="J19">
        <v>439.28</v>
      </c>
      <c r="K19" s="3">
        <f t="shared" si="3"/>
        <v>5.5913978494623651</v>
      </c>
    </row>
    <row r="20" spans="1:22" x14ac:dyDescent="0.2">
      <c r="A20">
        <v>19</v>
      </c>
      <c r="B20" t="s">
        <v>101</v>
      </c>
      <c r="C20" t="s">
        <v>14</v>
      </c>
      <c r="D20">
        <v>18</v>
      </c>
      <c r="E20">
        <v>15</v>
      </c>
      <c r="F20">
        <v>19</v>
      </c>
      <c r="G20">
        <f t="shared" si="4"/>
        <v>-1</v>
      </c>
      <c r="H20" t="s">
        <v>81</v>
      </c>
      <c r="I20">
        <v>800.5</v>
      </c>
      <c r="J20">
        <v>450.83</v>
      </c>
      <c r="K20" s="3"/>
      <c r="T20" s="10"/>
    </row>
    <row r="21" spans="1:22" x14ac:dyDescent="0.2">
      <c r="A21">
        <v>20</v>
      </c>
      <c r="B21" t="s">
        <v>102</v>
      </c>
      <c r="C21" t="s">
        <v>14</v>
      </c>
      <c r="D21">
        <v>106</v>
      </c>
      <c r="E21">
        <v>103</v>
      </c>
      <c r="F21">
        <v>112</v>
      </c>
      <c r="G21">
        <f t="shared" si="4"/>
        <v>92</v>
      </c>
      <c r="H21">
        <v>13.5</v>
      </c>
      <c r="I21">
        <v>162.07</v>
      </c>
      <c r="J21">
        <v>438.77</v>
      </c>
      <c r="K21" s="3">
        <f t="shared" si="3"/>
        <v>6.8148148148148149</v>
      </c>
    </row>
    <row r="22" spans="1:22" x14ac:dyDescent="0.2">
      <c r="A22" t="s">
        <v>106</v>
      </c>
    </row>
    <row r="23" spans="1:22" x14ac:dyDescent="0.2">
      <c r="A23">
        <v>22</v>
      </c>
      <c r="B23" t="s">
        <v>104</v>
      </c>
      <c r="C23" t="s">
        <v>51</v>
      </c>
      <c r="D23">
        <v>6226</v>
      </c>
      <c r="E23">
        <v>6106</v>
      </c>
      <c r="F23">
        <v>6592</v>
      </c>
      <c r="G23">
        <f>F23-22</f>
        <v>6570</v>
      </c>
      <c r="H23">
        <v>1</v>
      </c>
      <c r="I23">
        <v>73.8</v>
      </c>
      <c r="J23">
        <v>444.16</v>
      </c>
      <c r="K23" s="3">
        <f>G23*10</f>
        <v>65700</v>
      </c>
    </row>
    <row r="24" spans="1:22" x14ac:dyDescent="0.2">
      <c r="A24" t="s">
        <v>107</v>
      </c>
    </row>
    <row r="25" spans="1:22" x14ac:dyDescent="0.2">
      <c r="A25">
        <v>24</v>
      </c>
      <c r="C25" t="s">
        <v>108</v>
      </c>
      <c r="D25">
        <v>20</v>
      </c>
      <c r="E25">
        <v>18</v>
      </c>
      <c r="F25">
        <v>21</v>
      </c>
      <c r="I25">
        <v>750.29</v>
      </c>
      <c r="J25">
        <v>425.8</v>
      </c>
    </row>
    <row r="26" spans="1:22" x14ac:dyDescent="0.2">
      <c r="A26">
        <v>25</v>
      </c>
      <c r="C26" t="s">
        <v>22</v>
      </c>
      <c r="D26">
        <v>19</v>
      </c>
      <c r="E26">
        <v>17</v>
      </c>
      <c r="F26">
        <v>20</v>
      </c>
      <c r="I26">
        <v>666.16</v>
      </c>
      <c r="J26">
        <v>404.95</v>
      </c>
    </row>
    <row r="27" spans="1:22" x14ac:dyDescent="0.2">
      <c r="A27">
        <v>26</v>
      </c>
      <c r="C27" t="s">
        <v>109</v>
      </c>
      <c r="D27">
        <v>21</v>
      </c>
      <c r="E27">
        <v>19</v>
      </c>
      <c r="F27">
        <v>22</v>
      </c>
      <c r="I27">
        <v>636.16999999999996</v>
      </c>
      <c r="J27">
        <v>395.11</v>
      </c>
    </row>
    <row r="30" spans="1:22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</row>
    <row r="31" spans="1:22" x14ac:dyDescent="0.2">
      <c r="A31">
        <v>1</v>
      </c>
      <c r="C31" t="s">
        <v>56</v>
      </c>
      <c r="D31">
        <v>24</v>
      </c>
      <c r="E31">
        <v>22</v>
      </c>
      <c r="F31">
        <v>26</v>
      </c>
      <c r="H31">
        <v>10.1</v>
      </c>
      <c r="I31">
        <v>461.33</v>
      </c>
      <c r="J31">
        <v>286.54000000000002</v>
      </c>
    </row>
    <row r="32" spans="1:22" x14ac:dyDescent="0.2">
      <c r="A32">
        <v>2</v>
      </c>
      <c r="C32" t="s">
        <v>56</v>
      </c>
      <c r="D32">
        <v>21</v>
      </c>
      <c r="E32">
        <v>20</v>
      </c>
      <c r="F32">
        <v>23</v>
      </c>
      <c r="H32">
        <v>17.2</v>
      </c>
      <c r="I32">
        <v>467.14</v>
      </c>
      <c r="J32">
        <v>281.07</v>
      </c>
    </row>
    <row r="33" spans="1:11" x14ac:dyDescent="0.2">
      <c r="A33">
        <v>3</v>
      </c>
      <c r="C33" t="s">
        <v>56</v>
      </c>
      <c r="D33">
        <v>20</v>
      </c>
      <c r="E33">
        <v>19</v>
      </c>
      <c r="F33">
        <v>22</v>
      </c>
      <c r="H33">
        <v>23</v>
      </c>
      <c r="I33">
        <v>631.52</v>
      </c>
      <c r="J33">
        <v>240.62</v>
      </c>
    </row>
    <row r="34" spans="1:11" x14ac:dyDescent="0.2">
      <c r="A34">
        <v>4</v>
      </c>
      <c r="C34" t="s">
        <v>56</v>
      </c>
      <c r="D34">
        <v>18</v>
      </c>
      <c r="E34">
        <v>17</v>
      </c>
      <c r="F34">
        <v>20</v>
      </c>
      <c r="G34">
        <f>AVERAGE(F31:F34)</f>
        <v>22.75</v>
      </c>
      <c r="H34">
        <v>31.5</v>
      </c>
      <c r="I34">
        <v>399.33</v>
      </c>
      <c r="J34">
        <v>247.8</v>
      </c>
    </row>
    <row r="35" spans="1:11" x14ac:dyDescent="0.2">
      <c r="A35" t="s">
        <v>110</v>
      </c>
    </row>
    <row r="36" spans="1:11" x14ac:dyDescent="0.2">
      <c r="A36">
        <v>6</v>
      </c>
      <c r="B36" t="s">
        <v>104</v>
      </c>
      <c r="C36" t="s">
        <v>59</v>
      </c>
      <c r="D36">
        <v>324</v>
      </c>
      <c r="E36">
        <v>318</v>
      </c>
      <c r="F36">
        <v>353</v>
      </c>
      <c r="G36">
        <f>F36-22.75</f>
        <v>330.25</v>
      </c>
      <c r="H36">
        <v>21.5</v>
      </c>
      <c r="I36">
        <v>79.55</v>
      </c>
      <c r="J36">
        <v>293.02</v>
      </c>
      <c r="K36" s="3">
        <f>G36/H36</f>
        <v>15.36046511627907</v>
      </c>
    </row>
    <row r="37" spans="1:11" x14ac:dyDescent="0.2">
      <c r="A37" t="s">
        <v>103</v>
      </c>
      <c r="K37" s="3"/>
    </row>
    <row r="38" spans="1:11" x14ac:dyDescent="0.2">
      <c r="A38">
        <v>8</v>
      </c>
      <c r="B38" s="20" t="s">
        <v>97</v>
      </c>
      <c r="C38" t="s">
        <v>59</v>
      </c>
      <c r="D38">
        <v>129</v>
      </c>
      <c r="E38">
        <v>127</v>
      </c>
      <c r="F38">
        <v>140</v>
      </c>
      <c r="G38">
        <f t="shared" ref="G38:G43" si="5">F38-22.75</f>
        <v>117.25</v>
      </c>
      <c r="H38">
        <v>22.4</v>
      </c>
      <c r="I38">
        <v>154.53</v>
      </c>
      <c r="J38">
        <v>314.89</v>
      </c>
      <c r="K38" s="3">
        <f t="shared" ref="K38:K43" si="6">G38/H38</f>
        <v>5.234375</v>
      </c>
    </row>
    <row r="39" spans="1:11" x14ac:dyDescent="0.2">
      <c r="A39">
        <v>9</v>
      </c>
      <c r="B39" s="20" t="s">
        <v>98</v>
      </c>
      <c r="C39" t="s">
        <v>59</v>
      </c>
      <c r="D39">
        <v>137</v>
      </c>
      <c r="E39">
        <v>135</v>
      </c>
      <c r="F39">
        <v>149</v>
      </c>
      <c r="G39">
        <f t="shared" si="5"/>
        <v>126.25</v>
      </c>
      <c r="H39">
        <v>22</v>
      </c>
      <c r="I39">
        <v>163.18</v>
      </c>
      <c r="J39">
        <v>312.57</v>
      </c>
      <c r="K39" s="3">
        <f t="shared" si="6"/>
        <v>5.7386363636363633</v>
      </c>
    </row>
    <row r="40" spans="1:11" x14ac:dyDescent="0.2">
      <c r="A40">
        <v>10</v>
      </c>
      <c r="B40" s="20" t="s">
        <v>99</v>
      </c>
      <c r="C40" t="s">
        <v>59</v>
      </c>
      <c r="D40">
        <v>112</v>
      </c>
      <c r="E40">
        <v>110</v>
      </c>
      <c r="F40">
        <v>122</v>
      </c>
      <c r="G40">
        <f t="shared" si="5"/>
        <v>99.25</v>
      </c>
      <c r="H40">
        <v>20.9</v>
      </c>
      <c r="I40">
        <v>181.62</v>
      </c>
      <c r="J40">
        <v>316.08</v>
      </c>
      <c r="K40" s="3">
        <f t="shared" si="6"/>
        <v>4.7488038277511961</v>
      </c>
    </row>
    <row r="41" spans="1:11" x14ac:dyDescent="0.2">
      <c r="A41">
        <v>11</v>
      </c>
      <c r="B41" s="20" t="s">
        <v>100</v>
      </c>
      <c r="C41" t="s">
        <v>59</v>
      </c>
      <c r="D41">
        <v>136</v>
      </c>
      <c r="E41">
        <v>134</v>
      </c>
      <c r="F41">
        <v>147</v>
      </c>
      <c r="G41">
        <f t="shared" si="5"/>
        <v>124.25</v>
      </c>
      <c r="H41">
        <v>21.9</v>
      </c>
      <c r="I41">
        <v>191.71</v>
      </c>
      <c r="J41">
        <v>312.81</v>
      </c>
      <c r="K41" s="3">
        <f t="shared" si="6"/>
        <v>5.6735159817351599</v>
      </c>
    </row>
    <row r="42" spans="1:11" x14ac:dyDescent="0.2">
      <c r="A42">
        <v>12</v>
      </c>
      <c r="B42" s="20" t="s">
        <v>101</v>
      </c>
      <c r="C42" t="s">
        <v>59</v>
      </c>
      <c r="D42">
        <v>85</v>
      </c>
      <c r="E42">
        <v>82</v>
      </c>
      <c r="F42">
        <v>91</v>
      </c>
      <c r="G42">
        <f t="shared" si="5"/>
        <v>68.25</v>
      </c>
      <c r="H42">
        <v>9.6</v>
      </c>
      <c r="I42">
        <v>275.74</v>
      </c>
      <c r="J42">
        <v>328.16</v>
      </c>
      <c r="K42" s="3">
        <f t="shared" si="6"/>
        <v>7.109375</v>
      </c>
    </row>
    <row r="43" spans="1:11" x14ac:dyDescent="0.2">
      <c r="A43">
        <v>13</v>
      </c>
      <c r="B43" s="20" t="s">
        <v>102</v>
      </c>
      <c r="C43" t="s">
        <v>59</v>
      </c>
      <c r="D43">
        <v>174</v>
      </c>
      <c r="E43">
        <v>170</v>
      </c>
      <c r="F43">
        <v>188</v>
      </c>
      <c r="G43">
        <f t="shared" si="5"/>
        <v>165.25</v>
      </c>
      <c r="H43">
        <v>20</v>
      </c>
      <c r="I43">
        <v>142.16999999999999</v>
      </c>
      <c r="J43">
        <v>313.32</v>
      </c>
      <c r="K43" s="3">
        <f t="shared" si="6"/>
        <v>8.2624999999999993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171B3-A8C7-8247-8FE4-C56DF2332A61}">
  <dimension ref="A2:P25"/>
  <sheetViews>
    <sheetView tabSelected="1" zoomScale="180" zoomScaleNormal="180" workbookViewId="0">
      <selection activeCell="D38" sqref="D38"/>
    </sheetView>
  </sheetViews>
  <sheetFormatPr baseColWidth="10" defaultRowHeight="16" x14ac:dyDescent="0.2"/>
  <cols>
    <col min="1" max="1" width="10.83203125" style="13"/>
    <col min="2" max="2" width="12.33203125" style="13" bestFit="1" customWidth="1"/>
    <col min="3" max="6" width="10.83203125" style="13"/>
    <col min="7" max="7" width="12.5" style="13" bestFit="1" customWidth="1"/>
    <col min="8" max="8" width="13.33203125" style="13" bestFit="1" customWidth="1"/>
    <col min="9" max="10" width="10.83203125" style="13"/>
    <col min="11" max="11" width="12.33203125" style="13" bestFit="1" customWidth="1"/>
    <col min="12" max="15" width="10.83203125" style="13"/>
    <col min="16" max="16" width="12.5" style="13" bestFit="1" customWidth="1"/>
    <col min="17" max="16384" width="10.83203125" style="13"/>
  </cols>
  <sheetData>
    <row r="2" spans="1:16" x14ac:dyDescent="0.2">
      <c r="A2" s="53" t="s">
        <v>236</v>
      </c>
      <c r="B2" s="53"/>
      <c r="C2" s="53"/>
      <c r="D2" s="53"/>
      <c r="E2" s="53"/>
      <c r="F2" s="53"/>
      <c r="G2" s="41"/>
      <c r="J2" s="53" t="s">
        <v>237</v>
      </c>
      <c r="K2" s="53"/>
      <c r="L2" s="53"/>
      <c r="M2" s="53"/>
      <c r="N2" s="53"/>
      <c r="O2" s="53"/>
      <c r="P2" s="53"/>
    </row>
    <row r="3" spans="1:16" x14ac:dyDescent="0.2">
      <c r="F3" s="54" t="s">
        <v>133</v>
      </c>
      <c r="G3" s="54"/>
      <c r="O3" s="54" t="s">
        <v>133</v>
      </c>
      <c r="P3" s="54"/>
    </row>
    <row r="4" spans="1:16" x14ac:dyDescent="0.2">
      <c r="A4" s="13" t="s">
        <v>238</v>
      </c>
      <c r="B4" s="12" t="s">
        <v>155</v>
      </c>
      <c r="C4" s="12" t="s">
        <v>1</v>
      </c>
      <c r="D4" s="12" t="s">
        <v>13</v>
      </c>
      <c r="F4" s="35" t="s">
        <v>239</v>
      </c>
      <c r="G4" s="43" t="s">
        <v>240</v>
      </c>
      <c r="J4" s="13" t="s">
        <v>238</v>
      </c>
      <c r="K4" s="12" t="s">
        <v>155</v>
      </c>
      <c r="L4" s="12" t="s">
        <v>1</v>
      </c>
      <c r="M4" s="12" t="s">
        <v>13</v>
      </c>
      <c r="O4" s="35" t="s">
        <v>239</v>
      </c>
      <c r="P4" s="13" t="s">
        <v>240</v>
      </c>
    </row>
    <row r="5" spans="1:16" x14ac:dyDescent="0.2">
      <c r="B5" s="13">
        <v>31</v>
      </c>
      <c r="C5" s="13" t="s">
        <v>21</v>
      </c>
      <c r="D5" s="13">
        <v>19.3</v>
      </c>
      <c r="E5" s="13" t="s">
        <v>241</v>
      </c>
      <c r="F5" s="44">
        <f>D5/D17</f>
        <v>0.12246192893401016</v>
      </c>
      <c r="G5" s="27">
        <f>D5/D17</f>
        <v>0.12246192893401016</v>
      </c>
      <c r="K5" s="13">
        <v>33</v>
      </c>
      <c r="L5" s="45" t="s">
        <v>97</v>
      </c>
      <c r="M5" s="13">
        <v>17.399999999999999</v>
      </c>
      <c r="N5" s="13" t="s">
        <v>242</v>
      </c>
      <c r="O5" s="44">
        <f t="shared" ref="O5:O10" si="0">M5/M17</f>
        <v>0.11054637865311308</v>
      </c>
      <c r="P5" s="27">
        <f>M5/M17</f>
        <v>0.11054637865311308</v>
      </c>
    </row>
    <row r="6" spans="1:16" x14ac:dyDescent="0.2">
      <c r="B6" s="13">
        <v>45</v>
      </c>
      <c r="C6" s="13" t="s">
        <v>23</v>
      </c>
      <c r="D6" s="13">
        <v>20.2</v>
      </c>
      <c r="E6" s="13" t="s">
        <v>242</v>
      </c>
      <c r="F6" s="44">
        <f>D6/D18</f>
        <v>0.15256797583081569</v>
      </c>
      <c r="G6" s="27">
        <f>D6/AVERAGE(D17:D18)</f>
        <v>0.1393103448275862</v>
      </c>
      <c r="K6" s="13">
        <v>48</v>
      </c>
      <c r="L6" s="45" t="s">
        <v>98</v>
      </c>
      <c r="M6" s="13">
        <v>16.2</v>
      </c>
      <c r="N6" s="13" t="s">
        <v>241</v>
      </c>
      <c r="O6" s="44">
        <f t="shared" si="0"/>
        <v>0.11336599020293911</v>
      </c>
      <c r="P6" s="27">
        <f>M6/AVERAGE(M17:M18)</f>
        <v>0.10789210789210789</v>
      </c>
    </row>
    <row r="7" spans="1:16" x14ac:dyDescent="0.2">
      <c r="B7" s="13">
        <v>56</v>
      </c>
      <c r="C7" s="13" t="s">
        <v>25</v>
      </c>
      <c r="D7" s="13">
        <v>16.3</v>
      </c>
      <c r="E7" s="13" t="s">
        <v>243</v>
      </c>
      <c r="F7" s="44">
        <f>D7/D19</f>
        <v>0.14913083257090579</v>
      </c>
      <c r="G7" s="27">
        <f>D7/AVERAGE(D17:D19)</f>
        <v>0.12246431254695718</v>
      </c>
      <c r="I7" s="27"/>
      <c r="K7" s="13">
        <v>60</v>
      </c>
      <c r="L7" s="45" t="s">
        <v>99</v>
      </c>
      <c r="M7" s="13">
        <v>13.3</v>
      </c>
      <c r="N7" s="13" t="s">
        <v>241</v>
      </c>
      <c r="O7" s="44">
        <f t="shared" si="0"/>
        <v>0.12101910828025478</v>
      </c>
      <c r="P7" s="27">
        <f>M7/AVERAGE(M17:M19)</f>
        <v>9.726962457337883E-2</v>
      </c>
    </row>
    <row r="8" spans="1:16" x14ac:dyDescent="0.2">
      <c r="B8" s="13">
        <v>66</v>
      </c>
      <c r="C8" s="13" t="s">
        <v>27</v>
      </c>
      <c r="D8" s="13">
        <v>21.9</v>
      </c>
      <c r="E8" s="13" t="s">
        <v>243</v>
      </c>
      <c r="F8" s="44">
        <f>D8/D20</f>
        <v>0.23472668810289388</v>
      </c>
      <c r="G8" s="27">
        <f>D8/AVERAGE(D17:D20)</f>
        <v>0.17783191230207063</v>
      </c>
      <c r="K8" s="13">
        <v>68</v>
      </c>
      <c r="L8" s="45" t="s">
        <v>100</v>
      </c>
      <c r="M8" s="13">
        <v>16.5</v>
      </c>
      <c r="N8" s="13" t="s">
        <v>243</v>
      </c>
      <c r="O8" s="44">
        <f t="shared" si="0"/>
        <v>0.1795429815016322</v>
      </c>
      <c r="P8" s="27">
        <f>M8/AVERAGE(M17:M20)</f>
        <v>0.13144791874128658</v>
      </c>
    </row>
    <row r="9" spans="1:16" x14ac:dyDescent="0.2">
      <c r="B9" s="13">
        <v>78</v>
      </c>
      <c r="C9" s="13" t="s">
        <v>28</v>
      </c>
      <c r="E9" s="13" t="s">
        <v>243</v>
      </c>
      <c r="F9" s="44"/>
      <c r="G9" s="27"/>
      <c r="K9" s="13">
        <v>82</v>
      </c>
      <c r="L9" s="45" t="s">
        <v>101</v>
      </c>
      <c r="M9" s="13">
        <v>16.2</v>
      </c>
      <c r="N9" s="13" t="s">
        <v>243</v>
      </c>
      <c r="O9" s="44">
        <f t="shared" si="0"/>
        <v>0.17920353982300882</v>
      </c>
      <c r="P9" s="27">
        <f>M9/AVERAGE(M17:M21)</f>
        <v>0.13670886075949368</v>
      </c>
    </row>
    <row r="10" spans="1:16" x14ac:dyDescent="0.2">
      <c r="B10" s="13">
        <v>88</v>
      </c>
      <c r="C10" s="13" t="s">
        <v>29</v>
      </c>
      <c r="D10" s="13">
        <v>17.7</v>
      </c>
      <c r="E10" s="13" t="s">
        <v>241</v>
      </c>
      <c r="F10" s="44">
        <f>D10/D22</f>
        <v>0.27786499215070642</v>
      </c>
      <c r="G10" s="27">
        <f>D10/AVERAGE(D17:D22)</f>
        <v>0.16630128405887878</v>
      </c>
      <c r="K10" s="35">
        <v>124</v>
      </c>
      <c r="L10" s="45" t="s">
        <v>102</v>
      </c>
      <c r="M10" s="14">
        <v>21</v>
      </c>
      <c r="N10" s="13" t="s">
        <v>243</v>
      </c>
      <c r="O10" s="44">
        <f t="shared" si="0"/>
        <v>0.31296572280178842</v>
      </c>
      <c r="P10" s="27">
        <f>M10/AVERAGE(M17:M22)</f>
        <v>0.19102486355366888</v>
      </c>
    </row>
    <row r="11" spans="1:16" x14ac:dyDescent="0.2">
      <c r="B11" s="13">
        <v>100</v>
      </c>
      <c r="C11" s="13" t="s">
        <v>30</v>
      </c>
      <c r="D11" s="13">
        <v>18.100000000000001</v>
      </c>
      <c r="E11" s="13" t="s">
        <v>242</v>
      </c>
      <c r="F11" s="44">
        <f>D11/D23</f>
        <v>0.29288025889967639</v>
      </c>
      <c r="G11" s="27">
        <f>D11/AVERAGE(D17:D23)</f>
        <v>0.18089663049685897</v>
      </c>
      <c r="M11" s="13">
        <f>COUNTA(M5:M10)</f>
        <v>6</v>
      </c>
    </row>
    <row r="12" spans="1:16" x14ac:dyDescent="0.2">
      <c r="B12" s="35">
        <v>110</v>
      </c>
      <c r="C12" s="13" t="s">
        <v>31</v>
      </c>
      <c r="D12" s="13">
        <v>19.100000000000001</v>
      </c>
      <c r="E12" s="13" t="s">
        <v>242</v>
      </c>
      <c r="F12" s="44">
        <f>D12/D24</f>
        <v>0.48974358974358978</v>
      </c>
      <c r="G12" s="27">
        <f>D12/AVERAGE(D17:D23)</f>
        <v>0.19089091947458597</v>
      </c>
    </row>
    <row r="13" spans="1:16" x14ac:dyDescent="0.2">
      <c r="B13" s="35">
        <v>138</v>
      </c>
      <c r="C13" s="13" t="s">
        <v>32</v>
      </c>
      <c r="D13" s="13">
        <v>17.8</v>
      </c>
      <c r="E13" s="13" t="s">
        <v>243</v>
      </c>
      <c r="F13" s="44">
        <f>D13/D25</f>
        <v>0.36400817995910023</v>
      </c>
      <c r="G13" s="27">
        <f>D13/AVERAGE(D17:D24)</f>
        <v>0.19258858533946444</v>
      </c>
    </row>
    <row r="14" spans="1:16" x14ac:dyDescent="0.2">
      <c r="B14" s="35"/>
      <c r="D14" s="13">
        <f>COUNTA(D5:D13)</f>
        <v>8</v>
      </c>
      <c r="F14" s="27"/>
      <c r="G14" s="27"/>
    </row>
    <row r="16" spans="1:16" x14ac:dyDescent="0.2">
      <c r="A16" s="13" t="s">
        <v>244</v>
      </c>
      <c r="B16" s="12" t="s">
        <v>155</v>
      </c>
      <c r="C16" s="12" t="s">
        <v>245</v>
      </c>
      <c r="D16" s="12" t="s">
        <v>13</v>
      </c>
      <c r="J16" s="13" t="s">
        <v>244</v>
      </c>
      <c r="K16" s="12" t="s">
        <v>155</v>
      </c>
      <c r="L16" s="12" t="s">
        <v>245</v>
      </c>
      <c r="M16" s="12" t="s">
        <v>13</v>
      </c>
    </row>
    <row r="17" spans="2:13" x14ac:dyDescent="0.2">
      <c r="B17" s="13">
        <v>35</v>
      </c>
      <c r="C17" s="13" t="s">
        <v>40</v>
      </c>
      <c r="D17" s="13">
        <v>157.6</v>
      </c>
      <c r="K17" s="13">
        <v>31</v>
      </c>
      <c r="L17" s="13" t="s">
        <v>40</v>
      </c>
      <c r="M17" s="13">
        <v>157.4</v>
      </c>
    </row>
    <row r="18" spans="2:13" x14ac:dyDescent="0.2">
      <c r="B18" s="13">
        <v>44</v>
      </c>
      <c r="C18" s="13" t="s">
        <v>41</v>
      </c>
      <c r="D18" s="13">
        <v>132.4</v>
      </c>
      <c r="K18" s="13">
        <v>43</v>
      </c>
      <c r="L18" s="13" t="s">
        <v>41</v>
      </c>
      <c r="M18" s="13">
        <v>142.9</v>
      </c>
    </row>
    <row r="19" spans="2:13" x14ac:dyDescent="0.2">
      <c r="B19" s="13">
        <v>55</v>
      </c>
      <c r="C19" s="13" t="s">
        <v>42</v>
      </c>
      <c r="D19" s="13">
        <v>109.3</v>
      </c>
      <c r="K19" s="13">
        <v>58</v>
      </c>
      <c r="L19" s="13" t="s">
        <v>42</v>
      </c>
      <c r="M19" s="13">
        <v>109.9</v>
      </c>
    </row>
    <row r="20" spans="2:13" x14ac:dyDescent="0.2">
      <c r="B20" s="13">
        <v>63</v>
      </c>
      <c r="C20" s="13" t="s">
        <v>43</v>
      </c>
      <c r="D20" s="13">
        <v>93.3</v>
      </c>
      <c r="K20" s="13">
        <v>67</v>
      </c>
      <c r="L20" s="13" t="s">
        <v>43</v>
      </c>
      <c r="M20" s="13">
        <v>91.9</v>
      </c>
    </row>
    <row r="21" spans="2:13" x14ac:dyDescent="0.2">
      <c r="B21" s="13">
        <v>73</v>
      </c>
      <c r="C21" s="13" t="s">
        <v>44</v>
      </c>
      <c r="D21" s="13">
        <v>82.3</v>
      </c>
      <c r="K21" s="13">
        <v>79</v>
      </c>
      <c r="L21" s="13" t="s">
        <v>44</v>
      </c>
      <c r="M21" s="13">
        <v>90.4</v>
      </c>
    </row>
    <row r="22" spans="2:13" x14ac:dyDescent="0.2">
      <c r="B22" s="13">
        <v>87</v>
      </c>
      <c r="C22" s="13" t="s">
        <v>45</v>
      </c>
      <c r="D22" s="13">
        <v>63.7</v>
      </c>
      <c r="K22" s="13">
        <v>92</v>
      </c>
      <c r="L22" s="13" t="s">
        <v>45</v>
      </c>
      <c r="M22" s="13">
        <v>67.099999999999994</v>
      </c>
    </row>
    <row r="23" spans="2:13" x14ac:dyDescent="0.2">
      <c r="B23" s="13">
        <v>98</v>
      </c>
      <c r="C23" s="13" t="s">
        <v>46</v>
      </c>
      <c r="D23" s="13">
        <v>61.8</v>
      </c>
    </row>
    <row r="24" spans="2:13" x14ac:dyDescent="0.2">
      <c r="B24" s="13">
        <v>113</v>
      </c>
      <c r="C24" s="13" t="s">
        <v>47</v>
      </c>
      <c r="D24" s="14">
        <v>39</v>
      </c>
    </row>
    <row r="25" spans="2:13" x14ac:dyDescent="0.2">
      <c r="B25" s="13">
        <v>140</v>
      </c>
      <c r="C25" s="13" t="s">
        <v>53</v>
      </c>
      <c r="D25" s="13">
        <v>48.9</v>
      </c>
    </row>
  </sheetData>
  <mergeCells count="4">
    <mergeCell ref="A2:F2"/>
    <mergeCell ref="F3:G3"/>
    <mergeCell ref="O3:P3"/>
    <mergeCell ref="J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2CB49-46CE-624B-8E45-DBBA0CF1FD32}">
  <dimension ref="A1:Q31"/>
  <sheetViews>
    <sheetView zoomScale="214" zoomScaleNormal="214" workbookViewId="0">
      <selection activeCell="E37" sqref="E37"/>
    </sheetView>
  </sheetViews>
  <sheetFormatPr baseColWidth="10" defaultRowHeight="16" x14ac:dyDescent="0.2"/>
  <cols>
    <col min="1" max="11" width="10.83203125" style="13"/>
    <col min="14" max="14" width="15" bestFit="1" customWidth="1"/>
  </cols>
  <sheetData>
    <row r="1" spans="1:17" x14ac:dyDescent="0.2">
      <c r="A1" s="56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56" t="s">
        <v>10</v>
      </c>
    </row>
    <row r="2" spans="1:17" x14ac:dyDescent="0.2">
      <c r="A2" s="13">
        <v>1</v>
      </c>
      <c r="C2" s="58" t="s">
        <v>56</v>
      </c>
      <c r="D2" s="13">
        <v>14</v>
      </c>
      <c r="E2" s="13">
        <v>13</v>
      </c>
      <c r="F2" s="13">
        <v>15</v>
      </c>
      <c r="I2" s="13">
        <v>733.34</v>
      </c>
      <c r="J2" s="13">
        <v>313.01</v>
      </c>
    </row>
    <row r="3" spans="1:17" x14ac:dyDescent="0.2">
      <c r="A3" s="13">
        <v>2</v>
      </c>
      <c r="C3" s="58" t="s">
        <v>56</v>
      </c>
      <c r="D3" s="13">
        <v>15</v>
      </c>
      <c r="E3" s="13">
        <v>15</v>
      </c>
      <c r="F3" s="13">
        <v>16</v>
      </c>
      <c r="I3" s="13">
        <v>717.88</v>
      </c>
      <c r="J3" s="13">
        <v>317.68</v>
      </c>
    </row>
    <row r="4" spans="1:17" x14ac:dyDescent="0.2">
      <c r="A4" s="13">
        <v>3</v>
      </c>
      <c r="C4" s="58" t="s">
        <v>56</v>
      </c>
      <c r="D4" s="13">
        <v>18</v>
      </c>
      <c r="E4" s="13">
        <v>18</v>
      </c>
      <c r="F4" s="13">
        <v>20</v>
      </c>
      <c r="I4" s="13">
        <v>561.23</v>
      </c>
      <c r="J4" s="13">
        <v>271.27</v>
      </c>
    </row>
    <row r="5" spans="1:17" x14ac:dyDescent="0.2">
      <c r="A5" s="13">
        <v>4</v>
      </c>
      <c r="C5" s="58" t="s">
        <v>56</v>
      </c>
      <c r="D5" s="13">
        <v>16</v>
      </c>
      <c r="E5" s="13">
        <v>15</v>
      </c>
      <c r="F5" s="13">
        <v>17</v>
      </c>
      <c r="I5" s="13">
        <v>646.67999999999995</v>
      </c>
      <c r="J5" s="13">
        <v>284.95999999999998</v>
      </c>
      <c r="O5" s="2" t="s">
        <v>17</v>
      </c>
      <c r="P5" s="2" t="s">
        <v>18</v>
      </c>
      <c r="Q5" s="2" t="s">
        <v>19</v>
      </c>
    </row>
    <row r="6" spans="1:17" x14ac:dyDescent="0.2">
      <c r="C6" s="58"/>
      <c r="F6" s="42">
        <f>AVERAGE(F2:F5)</f>
        <v>17</v>
      </c>
      <c r="M6" s="51" t="s">
        <v>224</v>
      </c>
      <c r="N6" t="s">
        <v>225</v>
      </c>
      <c r="O6" s="5">
        <f>K10/K17</f>
        <v>9.5248507497299906E-2</v>
      </c>
      <c r="P6" s="5">
        <f>K25/K17</f>
        <v>0.11980440097799511</v>
      </c>
      <c r="Q6" s="5">
        <f>K17/$K$30</f>
        <v>5.2379935965848456E-3</v>
      </c>
    </row>
    <row r="7" spans="1:17" x14ac:dyDescent="0.2">
      <c r="A7" s="13">
        <v>6</v>
      </c>
      <c r="C7" s="58" t="s">
        <v>20</v>
      </c>
      <c r="D7" s="13">
        <v>18</v>
      </c>
      <c r="E7" s="13">
        <v>17</v>
      </c>
      <c r="F7" s="13">
        <v>19</v>
      </c>
      <c r="I7" s="13">
        <v>791.71</v>
      </c>
      <c r="J7" s="13">
        <v>448.18</v>
      </c>
      <c r="M7" s="51"/>
      <c r="N7" t="s">
        <v>226</v>
      </c>
      <c r="O7" s="5">
        <f t="shared" ref="O7:O12" si="0">K11/K18</f>
        <v>9.4105613092954871E-2</v>
      </c>
      <c r="P7" s="5">
        <f t="shared" ref="P7:P10" si="1">K26/K18</f>
        <v>0.10361140871834892</v>
      </c>
      <c r="Q7" s="5">
        <f t="shared" ref="Q7:Q12" si="2">K18/$K$30</f>
        <v>5.5645677694770544E-3</v>
      </c>
    </row>
    <row r="8" spans="1:17" x14ac:dyDescent="0.2">
      <c r="A8" s="13">
        <v>7</v>
      </c>
      <c r="C8" s="58" t="s">
        <v>24</v>
      </c>
      <c r="D8" s="13">
        <v>17</v>
      </c>
      <c r="E8" s="13">
        <v>16</v>
      </c>
      <c r="F8" s="13">
        <v>18</v>
      </c>
      <c r="I8" s="13">
        <v>717.18</v>
      </c>
      <c r="J8" s="13">
        <v>458.61</v>
      </c>
      <c r="M8" s="51"/>
      <c r="N8" t="s">
        <v>227</v>
      </c>
      <c r="O8" s="5">
        <f t="shared" si="0"/>
        <v>9.3166576037701662E-2</v>
      </c>
      <c r="P8" s="5">
        <f t="shared" si="1"/>
        <v>7.6636251187637811E-2</v>
      </c>
      <c r="Q8" s="5">
        <f t="shared" si="2"/>
        <v>5.2337246531483457E-3</v>
      </c>
    </row>
    <row r="9" spans="1:17" x14ac:dyDescent="0.2">
      <c r="A9" s="13">
        <v>8</v>
      </c>
      <c r="C9" s="58" t="s">
        <v>22</v>
      </c>
      <c r="D9" s="13">
        <v>18</v>
      </c>
      <c r="E9" s="13">
        <v>17</v>
      </c>
      <c r="F9" s="13">
        <v>19</v>
      </c>
      <c r="I9" s="13">
        <v>606.66</v>
      </c>
      <c r="J9" s="13">
        <v>439.9</v>
      </c>
      <c r="M9" s="51"/>
      <c r="N9" t="s">
        <v>228</v>
      </c>
      <c r="O9" s="5">
        <f t="shared" si="0"/>
        <v>9.7542055966563623E-2</v>
      </c>
      <c r="P9" s="5">
        <f t="shared" si="1"/>
        <v>0.10253204126289465</v>
      </c>
      <c r="Q9" s="5">
        <f t="shared" si="2"/>
        <v>6.8281750266808959E-3</v>
      </c>
    </row>
    <row r="10" spans="1:17" x14ac:dyDescent="0.2">
      <c r="A10" s="13">
        <v>9</v>
      </c>
      <c r="B10" s="13" t="s">
        <v>225</v>
      </c>
      <c r="C10" s="58" t="s">
        <v>12</v>
      </c>
      <c r="D10" s="13">
        <v>550</v>
      </c>
      <c r="E10" s="13">
        <v>538</v>
      </c>
      <c r="F10" s="13">
        <v>592</v>
      </c>
      <c r="G10" s="13">
        <f>F10-17</f>
        <v>575</v>
      </c>
      <c r="H10" s="13">
        <v>24.6</v>
      </c>
      <c r="I10" s="13">
        <v>86.48</v>
      </c>
      <c r="J10" s="13">
        <v>334.2</v>
      </c>
      <c r="K10" s="25">
        <f>G10/H10</f>
        <v>23.373983739837396</v>
      </c>
      <c r="M10" s="51"/>
      <c r="N10" t="s">
        <v>229</v>
      </c>
      <c r="O10" s="5">
        <f t="shared" si="0"/>
        <v>4.7995069698152024E-2</v>
      </c>
      <c r="P10" s="5">
        <f t="shared" si="1"/>
        <v>4.2955971067559044E-2</v>
      </c>
      <c r="Q10" s="5">
        <f t="shared" si="2"/>
        <v>7.9573105656350063E-3</v>
      </c>
    </row>
    <row r="11" spans="1:17" x14ac:dyDescent="0.2">
      <c r="A11" s="13">
        <v>10</v>
      </c>
      <c r="B11" s="13" t="s">
        <v>226</v>
      </c>
      <c r="C11" s="58" t="s">
        <v>12</v>
      </c>
      <c r="D11" s="13">
        <v>357</v>
      </c>
      <c r="E11" s="13">
        <v>351</v>
      </c>
      <c r="F11" s="13">
        <v>385</v>
      </c>
      <c r="G11" s="13">
        <f t="shared" ref="G11:G15" si="3">F11-17</f>
        <v>368</v>
      </c>
      <c r="H11" s="13">
        <v>15</v>
      </c>
      <c r="I11" s="13">
        <v>106.44</v>
      </c>
      <c r="J11" s="13">
        <v>327.39</v>
      </c>
      <c r="K11" s="25">
        <f t="shared" ref="K11:K29" si="4">G11/H11</f>
        <v>24.533333333333335</v>
      </c>
      <c r="M11" s="52" t="s">
        <v>230</v>
      </c>
      <c r="N11" s="6" t="s">
        <v>231</v>
      </c>
      <c r="O11" s="40">
        <f t="shared" si="0"/>
        <v>3.8557282621813398E-2</v>
      </c>
      <c r="P11" s="40"/>
      <c r="Q11" s="40">
        <f t="shared" si="2"/>
        <v>9.7524012806830297E-3</v>
      </c>
    </row>
    <row r="12" spans="1:17" x14ac:dyDescent="0.2">
      <c r="A12" s="13">
        <v>11</v>
      </c>
      <c r="B12" s="13" t="s">
        <v>227</v>
      </c>
      <c r="C12" s="58" t="s">
        <v>12</v>
      </c>
      <c r="D12" s="13">
        <v>492</v>
      </c>
      <c r="E12" s="13">
        <v>483</v>
      </c>
      <c r="F12" s="13">
        <v>531</v>
      </c>
      <c r="G12" s="13">
        <f t="shared" si="3"/>
        <v>514</v>
      </c>
      <c r="H12" s="13">
        <v>22.5</v>
      </c>
      <c r="I12" s="13">
        <v>87.44</v>
      </c>
      <c r="J12" s="13">
        <v>323.85000000000002</v>
      </c>
      <c r="K12" s="25">
        <f t="shared" si="4"/>
        <v>22.844444444444445</v>
      </c>
      <c r="M12" s="52"/>
      <c r="N12" s="6" t="s">
        <v>232</v>
      </c>
      <c r="O12" s="40">
        <f t="shared" si="0"/>
        <v>8.6945403401099602E-2</v>
      </c>
      <c r="P12" s="40"/>
      <c r="Q12" s="40">
        <f t="shared" si="2"/>
        <v>3.7097118463180366E-3</v>
      </c>
    </row>
    <row r="13" spans="1:17" x14ac:dyDescent="0.2">
      <c r="A13" s="13">
        <v>12</v>
      </c>
      <c r="B13" s="13" t="s">
        <v>228</v>
      </c>
      <c r="C13" s="58" t="s">
        <v>12</v>
      </c>
      <c r="D13" s="13">
        <v>641</v>
      </c>
      <c r="E13" s="13">
        <v>631</v>
      </c>
      <c r="F13" s="13">
        <v>691</v>
      </c>
      <c r="G13" s="13">
        <f t="shared" si="3"/>
        <v>674</v>
      </c>
      <c r="H13" s="13">
        <v>21.6</v>
      </c>
      <c r="I13" s="13">
        <v>87.63</v>
      </c>
      <c r="J13" s="13">
        <v>330.79</v>
      </c>
      <c r="K13" s="25">
        <f t="shared" si="4"/>
        <v>31.203703703703702</v>
      </c>
    </row>
    <row r="14" spans="1:17" x14ac:dyDescent="0.2">
      <c r="A14" s="13">
        <v>13</v>
      </c>
      <c r="B14" s="13" t="s">
        <v>229</v>
      </c>
      <c r="C14" s="58" t="s">
        <v>12</v>
      </c>
      <c r="D14" s="13">
        <v>416</v>
      </c>
      <c r="E14" s="13">
        <v>409</v>
      </c>
      <c r="F14" s="13">
        <v>450</v>
      </c>
      <c r="G14" s="13">
        <f t="shared" si="3"/>
        <v>433</v>
      </c>
      <c r="H14" s="13">
        <v>24.2</v>
      </c>
      <c r="I14" s="13">
        <v>115.66</v>
      </c>
      <c r="J14" s="13">
        <v>321.95999999999998</v>
      </c>
      <c r="K14" s="25">
        <f t="shared" si="4"/>
        <v>17.892561983471076</v>
      </c>
      <c r="N14" s="2" t="s">
        <v>233</v>
      </c>
      <c r="O14" s="39">
        <f>AVERAGE(O6:O10)</f>
        <v>8.561156445853442E-2</v>
      </c>
      <c r="P14" s="39">
        <f>AVERAGE(P6:P10)</f>
        <v>8.9108014642887118E-2</v>
      </c>
    </row>
    <row r="15" spans="1:17" x14ac:dyDescent="0.2">
      <c r="A15" s="35">
        <v>14</v>
      </c>
      <c r="B15" s="35" t="s">
        <v>231</v>
      </c>
      <c r="C15" s="59" t="s">
        <v>12</v>
      </c>
      <c r="D15" s="35">
        <v>365</v>
      </c>
      <c r="E15" s="35">
        <v>361</v>
      </c>
      <c r="F15" s="35">
        <v>394</v>
      </c>
      <c r="G15" s="35">
        <f t="shared" si="3"/>
        <v>377</v>
      </c>
      <c r="H15" s="35">
        <v>21.4</v>
      </c>
      <c r="I15" s="35">
        <v>105.48</v>
      </c>
      <c r="J15" s="35">
        <v>326.57</v>
      </c>
      <c r="K15" s="57">
        <f t="shared" si="4"/>
        <v>17.616822429906541</v>
      </c>
      <c r="N15" t="s">
        <v>234</v>
      </c>
      <c r="O15" s="5">
        <f>STDEV(O6:O10)</f>
        <v>2.1091675128938302E-2</v>
      </c>
      <c r="P15" s="5">
        <f>STDEV(P6:P10)</f>
        <v>3.0076473672538823E-2</v>
      </c>
    </row>
    <row r="16" spans="1:17" x14ac:dyDescent="0.2">
      <c r="A16" s="35"/>
      <c r="B16" s="35" t="s">
        <v>232</v>
      </c>
      <c r="C16" s="59" t="s">
        <v>12</v>
      </c>
      <c r="D16" s="35">
        <v>393</v>
      </c>
      <c r="E16" s="35">
        <v>387</v>
      </c>
      <c r="F16" s="35">
        <v>424</v>
      </c>
      <c r="G16" s="35">
        <f>F16-16</f>
        <v>408</v>
      </c>
      <c r="H16" s="35">
        <v>27</v>
      </c>
      <c r="I16" s="35">
        <v>92.19</v>
      </c>
      <c r="J16" s="35">
        <v>325.45999999999998</v>
      </c>
      <c r="K16" s="57">
        <f t="shared" si="4"/>
        <v>15.111111111111111</v>
      </c>
    </row>
    <row r="17" spans="1:11" x14ac:dyDescent="0.2">
      <c r="A17" s="13">
        <v>16</v>
      </c>
      <c r="B17" s="13" t="s">
        <v>225</v>
      </c>
      <c r="C17" s="58" t="s">
        <v>13</v>
      </c>
      <c r="D17" s="13">
        <v>2336</v>
      </c>
      <c r="E17" s="13">
        <v>2293</v>
      </c>
      <c r="F17" s="13">
        <v>2473</v>
      </c>
      <c r="G17" s="13">
        <f>F17-19</f>
        <v>2454</v>
      </c>
      <c r="H17" s="13">
        <v>10</v>
      </c>
      <c r="I17" s="13">
        <v>87.3</v>
      </c>
      <c r="J17" s="13">
        <v>443.54</v>
      </c>
      <c r="K17" s="25">
        <f t="shared" si="4"/>
        <v>245.4</v>
      </c>
    </row>
    <row r="18" spans="1:11" x14ac:dyDescent="0.2">
      <c r="A18" s="13">
        <v>17</v>
      </c>
      <c r="B18" s="13" t="s">
        <v>226</v>
      </c>
      <c r="C18" s="58" t="s">
        <v>13</v>
      </c>
      <c r="D18" s="13">
        <v>2479</v>
      </c>
      <c r="E18" s="13">
        <v>2431</v>
      </c>
      <c r="F18" s="13">
        <v>2626</v>
      </c>
      <c r="G18" s="13">
        <f t="shared" ref="G18:G23" si="5">F18-19</f>
        <v>2607</v>
      </c>
      <c r="H18" s="13">
        <v>10</v>
      </c>
      <c r="I18" s="13">
        <v>86.38</v>
      </c>
      <c r="J18" s="13">
        <v>442.78</v>
      </c>
      <c r="K18" s="25">
        <f t="shared" si="4"/>
        <v>260.7</v>
      </c>
    </row>
    <row r="19" spans="1:11" x14ac:dyDescent="0.2">
      <c r="A19" s="13">
        <v>18</v>
      </c>
      <c r="B19" s="13" t="s">
        <v>227</v>
      </c>
      <c r="C19" s="58" t="s">
        <v>13</v>
      </c>
      <c r="D19" s="13">
        <v>2335</v>
      </c>
      <c r="E19" s="13">
        <v>2292</v>
      </c>
      <c r="F19" s="13">
        <v>2471</v>
      </c>
      <c r="G19" s="13">
        <f t="shared" si="5"/>
        <v>2452</v>
      </c>
      <c r="H19" s="13">
        <v>10</v>
      </c>
      <c r="I19" s="13">
        <v>84.63</v>
      </c>
      <c r="J19" s="13">
        <v>446.34</v>
      </c>
      <c r="K19" s="25">
        <f t="shared" si="4"/>
        <v>245.2</v>
      </c>
    </row>
    <row r="20" spans="1:11" x14ac:dyDescent="0.2">
      <c r="A20" s="13">
        <v>19</v>
      </c>
      <c r="B20" s="13" t="s">
        <v>228</v>
      </c>
      <c r="C20" s="58" t="s">
        <v>13</v>
      </c>
      <c r="D20" s="13">
        <v>3032</v>
      </c>
      <c r="E20" s="13">
        <v>2978</v>
      </c>
      <c r="F20" s="13">
        <v>3218</v>
      </c>
      <c r="G20" s="13">
        <f t="shared" si="5"/>
        <v>3199</v>
      </c>
      <c r="H20" s="13">
        <v>10</v>
      </c>
      <c r="I20" s="13">
        <v>83.5</v>
      </c>
      <c r="J20" s="13">
        <v>428.97</v>
      </c>
      <c r="K20" s="25">
        <f t="shared" si="4"/>
        <v>319.89999999999998</v>
      </c>
    </row>
    <row r="21" spans="1:11" x14ac:dyDescent="0.2">
      <c r="A21" s="13">
        <v>20</v>
      </c>
      <c r="B21" s="13" t="s">
        <v>229</v>
      </c>
      <c r="C21" s="58" t="s">
        <v>13</v>
      </c>
      <c r="D21" s="13">
        <v>3540</v>
      </c>
      <c r="E21" s="13">
        <v>3475</v>
      </c>
      <c r="F21" s="13">
        <v>3747</v>
      </c>
      <c r="G21" s="13">
        <f t="shared" si="5"/>
        <v>3728</v>
      </c>
      <c r="H21" s="13">
        <v>10</v>
      </c>
      <c r="I21" s="13">
        <v>83.85</v>
      </c>
      <c r="J21" s="13">
        <v>446.94</v>
      </c>
      <c r="K21" s="25">
        <f t="shared" si="4"/>
        <v>372.8</v>
      </c>
    </row>
    <row r="22" spans="1:11" x14ac:dyDescent="0.2">
      <c r="A22" s="13">
        <v>21</v>
      </c>
      <c r="B22" s="13" t="s">
        <v>231</v>
      </c>
      <c r="C22" s="58" t="s">
        <v>13</v>
      </c>
      <c r="D22" s="13">
        <v>4333</v>
      </c>
      <c r="E22" s="13">
        <v>4261</v>
      </c>
      <c r="F22" s="13">
        <v>4588</v>
      </c>
      <c r="G22" s="13">
        <f t="shared" si="5"/>
        <v>4569</v>
      </c>
      <c r="H22" s="13">
        <v>10</v>
      </c>
      <c r="I22" s="13">
        <v>83.92</v>
      </c>
      <c r="J22" s="13">
        <v>444.29</v>
      </c>
      <c r="K22" s="25">
        <f t="shared" si="4"/>
        <v>456.9</v>
      </c>
    </row>
    <row r="23" spans="1:11" x14ac:dyDescent="0.2">
      <c r="A23" s="13">
        <v>22</v>
      </c>
      <c r="B23" s="13" t="s">
        <v>232</v>
      </c>
      <c r="C23" s="58" t="s">
        <v>13</v>
      </c>
      <c r="D23" s="13">
        <v>1657</v>
      </c>
      <c r="E23" s="13">
        <v>1630</v>
      </c>
      <c r="F23" s="13">
        <v>1757</v>
      </c>
      <c r="G23" s="13">
        <f t="shared" si="5"/>
        <v>1738</v>
      </c>
      <c r="H23" s="13">
        <v>10</v>
      </c>
      <c r="I23" s="13">
        <v>88.99</v>
      </c>
      <c r="J23" s="13">
        <v>436.51</v>
      </c>
      <c r="K23" s="25">
        <f t="shared" si="4"/>
        <v>173.8</v>
      </c>
    </row>
    <row r="24" spans="1:11" x14ac:dyDescent="0.2">
      <c r="C24" s="58"/>
      <c r="K24" s="25"/>
    </row>
    <row r="25" spans="1:11" x14ac:dyDescent="0.2">
      <c r="A25" s="13">
        <v>24</v>
      </c>
      <c r="B25" s="45" t="s">
        <v>225</v>
      </c>
      <c r="C25" s="58" t="s">
        <v>14</v>
      </c>
      <c r="D25" s="13">
        <v>296</v>
      </c>
      <c r="E25" s="13">
        <v>291</v>
      </c>
      <c r="F25" s="13">
        <v>313</v>
      </c>
      <c r="G25" s="13">
        <f>F25-19</f>
        <v>294</v>
      </c>
      <c r="H25" s="13">
        <v>10</v>
      </c>
      <c r="I25" s="13">
        <v>133.46</v>
      </c>
      <c r="J25" s="13">
        <v>451.68</v>
      </c>
      <c r="K25" s="25">
        <f t="shared" si="4"/>
        <v>29.4</v>
      </c>
    </row>
    <row r="26" spans="1:11" x14ac:dyDescent="0.2">
      <c r="A26" s="13">
        <v>25</v>
      </c>
      <c r="B26" s="45" t="s">
        <v>226</v>
      </c>
      <c r="C26" s="58" t="s">
        <v>14</v>
      </c>
      <c r="D26" s="13">
        <v>240</v>
      </c>
      <c r="E26" s="13">
        <v>235</v>
      </c>
      <c r="F26" s="13">
        <v>254</v>
      </c>
      <c r="G26" s="13">
        <f t="shared" ref="G26:G29" si="6">F26-19</f>
        <v>235</v>
      </c>
      <c r="H26" s="13">
        <v>8.6999999999999993</v>
      </c>
      <c r="I26" s="13">
        <v>168.31</v>
      </c>
      <c r="J26" s="13">
        <v>449.71</v>
      </c>
      <c r="K26" s="25">
        <f t="shared" si="4"/>
        <v>27.011494252873565</v>
      </c>
    </row>
    <row r="27" spans="1:11" x14ac:dyDescent="0.2">
      <c r="A27" s="13">
        <v>26</v>
      </c>
      <c r="B27" s="45" t="s">
        <v>227</v>
      </c>
      <c r="C27" s="58" t="s">
        <v>14</v>
      </c>
      <c r="D27" s="13">
        <v>180</v>
      </c>
      <c r="E27" s="13">
        <v>177</v>
      </c>
      <c r="F27" s="13">
        <v>190</v>
      </c>
      <c r="G27" s="13">
        <f t="shared" si="6"/>
        <v>171</v>
      </c>
      <c r="H27" s="13">
        <v>9.1</v>
      </c>
      <c r="I27" s="13">
        <v>178.98</v>
      </c>
      <c r="J27" s="13">
        <v>457.87</v>
      </c>
      <c r="K27" s="25">
        <f t="shared" si="4"/>
        <v>18.791208791208792</v>
      </c>
    </row>
    <row r="28" spans="1:11" x14ac:dyDescent="0.2">
      <c r="A28" s="13">
        <v>27</v>
      </c>
      <c r="B28" s="45" t="s">
        <v>228</v>
      </c>
      <c r="C28" s="58" t="s">
        <v>14</v>
      </c>
      <c r="D28" s="13">
        <v>173</v>
      </c>
      <c r="E28" s="13">
        <v>170</v>
      </c>
      <c r="F28" s="13">
        <v>183</v>
      </c>
      <c r="G28" s="13">
        <f t="shared" si="6"/>
        <v>164</v>
      </c>
      <c r="H28" s="13">
        <v>5</v>
      </c>
      <c r="I28" s="13">
        <v>144.47</v>
      </c>
      <c r="J28" s="13">
        <v>455.02</v>
      </c>
      <c r="K28" s="25">
        <f t="shared" si="4"/>
        <v>32.799999999999997</v>
      </c>
    </row>
    <row r="29" spans="1:11" x14ac:dyDescent="0.2">
      <c r="A29" s="13">
        <v>28</v>
      </c>
      <c r="B29" s="45" t="s">
        <v>229</v>
      </c>
      <c r="C29" s="58" t="s">
        <v>14</v>
      </c>
      <c r="D29" s="13">
        <v>234</v>
      </c>
      <c r="E29" s="13">
        <v>231</v>
      </c>
      <c r="F29" s="13">
        <v>248</v>
      </c>
      <c r="G29" s="13">
        <f t="shared" si="6"/>
        <v>229</v>
      </c>
      <c r="H29" s="13">
        <v>14.3</v>
      </c>
      <c r="I29" s="13">
        <v>131.37</v>
      </c>
      <c r="J29" s="13">
        <v>448.58</v>
      </c>
      <c r="K29" s="25">
        <f t="shared" si="4"/>
        <v>16.013986013986013</v>
      </c>
    </row>
    <row r="30" spans="1:11" x14ac:dyDescent="0.2">
      <c r="A30" s="13">
        <v>29</v>
      </c>
      <c r="B30" s="45" t="s">
        <v>235</v>
      </c>
      <c r="C30" s="58" t="s">
        <v>51</v>
      </c>
      <c r="D30" s="13">
        <v>4448</v>
      </c>
      <c r="E30" s="13">
        <v>4368</v>
      </c>
      <c r="F30" s="13">
        <v>4703</v>
      </c>
      <c r="G30" s="13">
        <f>F30-18</f>
        <v>4685</v>
      </c>
      <c r="H30" s="13">
        <v>1</v>
      </c>
      <c r="I30" s="13">
        <v>87.17</v>
      </c>
      <c r="J30" s="13">
        <v>458.13</v>
      </c>
      <c r="K30" s="25">
        <f>G30*10</f>
        <v>46850</v>
      </c>
    </row>
    <row r="31" spans="1:11" x14ac:dyDescent="0.2">
      <c r="C31" s="58"/>
    </row>
  </sheetData>
  <mergeCells count="2">
    <mergeCell ref="M6:M10"/>
    <mergeCell ref="M11:M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2E6F3-A7B6-934E-8302-004F71B7CD6B}">
  <dimension ref="A1:X35"/>
  <sheetViews>
    <sheetView topLeftCell="F1" zoomScale="180" zoomScaleNormal="180" workbookViewId="0">
      <selection activeCell="S4" sqref="S4"/>
    </sheetView>
  </sheetViews>
  <sheetFormatPr baseColWidth="10" defaultRowHeight="16" x14ac:dyDescent="0.2"/>
  <cols>
    <col min="1" max="2" width="10.83203125" style="13"/>
    <col min="4" max="11" width="10.83203125" style="13"/>
    <col min="13" max="18" width="10.83203125" style="13"/>
  </cols>
  <sheetData>
    <row r="1" spans="1:24" s="2" customFormat="1" x14ac:dyDescent="0.2">
      <c r="A1" s="56" t="s">
        <v>0</v>
      </c>
      <c r="B1" s="56" t="s">
        <v>1</v>
      </c>
      <c r="C1" s="1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42"/>
      <c r="M1" s="42"/>
      <c r="N1" s="13"/>
      <c r="O1" s="13"/>
      <c r="P1" s="13"/>
      <c r="Q1" s="13"/>
      <c r="R1" s="13"/>
      <c r="S1"/>
      <c r="T1"/>
      <c r="U1"/>
      <c r="V1"/>
      <c r="W1"/>
      <c r="X1" t="s">
        <v>176</v>
      </c>
    </row>
    <row r="2" spans="1:24" x14ac:dyDescent="0.2">
      <c r="A2" s="13">
        <v>1</v>
      </c>
      <c r="D2" s="13">
        <v>20</v>
      </c>
      <c r="E2" s="13">
        <v>19</v>
      </c>
      <c r="F2" s="13">
        <v>22</v>
      </c>
      <c r="I2" s="13">
        <v>508.92</v>
      </c>
      <c r="J2" s="13">
        <v>401.75</v>
      </c>
      <c r="N2" s="42" t="s">
        <v>1</v>
      </c>
      <c r="O2" s="42" t="s">
        <v>12</v>
      </c>
      <c r="P2" s="42" t="s">
        <v>14</v>
      </c>
      <c r="Q2" s="42" t="s">
        <v>13</v>
      </c>
      <c r="R2" s="42" t="s">
        <v>16</v>
      </c>
      <c r="S2" s="2"/>
      <c r="T2" s="2" t="s">
        <v>17</v>
      </c>
      <c r="U2" s="2" t="s">
        <v>18</v>
      </c>
      <c r="V2" s="2" t="s">
        <v>19</v>
      </c>
      <c r="W2" s="2"/>
      <c r="X2" s="2" t="s">
        <v>35</v>
      </c>
    </row>
    <row r="3" spans="1:24" x14ac:dyDescent="0.2">
      <c r="A3" s="13">
        <v>2</v>
      </c>
      <c r="D3" s="13">
        <v>29</v>
      </c>
      <c r="E3" s="13">
        <v>26</v>
      </c>
      <c r="F3" s="13">
        <v>31</v>
      </c>
      <c r="I3" s="13">
        <v>530.42999999999995</v>
      </c>
      <c r="J3" s="13">
        <v>410.63</v>
      </c>
      <c r="M3" s="13" t="s">
        <v>210</v>
      </c>
      <c r="N3" s="13" t="s">
        <v>185</v>
      </c>
      <c r="O3" s="14">
        <v>50.43648809523809</v>
      </c>
      <c r="P3" s="14">
        <v>57.232142857142861</v>
      </c>
      <c r="Q3" s="14">
        <v>569.1</v>
      </c>
      <c r="R3" s="14">
        <v>869170</v>
      </c>
      <c r="T3" s="4">
        <f>O3/Q3</f>
        <v>8.8625001045928811E-2</v>
      </c>
      <c r="U3" s="4">
        <f>P3/Q3</f>
        <v>0.10056605668097497</v>
      </c>
      <c r="V3" s="4">
        <f>Q3/869170</f>
        <v>6.5476258959697186E-4</v>
      </c>
      <c r="X3" s="4">
        <f>Q$13/Q3</f>
        <v>2.9871727288701458E-3</v>
      </c>
    </row>
    <row r="4" spans="1:24" x14ac:dyDescent="0.2">
      <c r="A4" s="13">
        <v>3</v>
      </c>
      <c r="D4" s="13">
        <v>19</v>
      </c>
      <c r="E4" s="13">
        <v>16</v>
      </c>
      <c r="F4" s="13">
        <v>21</v>
      </c>
      <c r="I4" s="13">
        <v>801.38</v>
      </c>
      <c r="J4" s="13">
        <v>426.75</v>
      </c>
      <c r="N4" s="35" t="s">
        <v>186</v>
      </c>
      <c r="O4" s="36">
        <v>0.59868932038834943</v>
      </c>
      <c r="P4" s="36">
        <v>-0.62992125984251968</v>
      </c>
      <c r="Q4" s="36">
        <v>2.2999999999999998</v>
      </c>
      <c r="R4" s="36"/>
      <c r="S4" s="35" t="s">
        <v>293</v>
      </c>
      <c r="T4" s="33">
        <f t="shared" ref="T4:T8" si="0">O4/Q4</f>
        <v>0.26029970451667367</v>
      </c>
      <c r="U4" s="33">
        <f t="shared" ref="U4:U8" si="1">P4/Q4</f>
        <v>-0.2738788086271825</v>
      </c>
      <c r="V4" s="33">
        <f t="shared" ref="V4:V8" si="2">Q4/869170</f>
        <v>2.6462026991267529E-6</v>
      </c>
      <c r="X4" s="4"/>
    </row>
    <row r="5" spans="1:24" x14ac:dyDescent="0.2">
      <c r="A5" s="13" t="s">
        <v>26</v>
      </c>
      <c r="N5" s="13" t="s">
        <v>187</v>
      </c>
      <c r="O5" s="14">
        <v>38.179938650306745</v>
      </c>
      <c r="P5" s="14">
        <v>24.628099173553721</v>
      </c>
      <c r="Q5" s="14">
        <v>513.6</v>
      </c>
      <c r="R5" s="14"/>
      <c r="T5" s="4">
        <f t="shared" si="0"/>
        <v>7.4337886780192264E-2</v>
      </c>
      <c r="U5" s="4">
        <f t="shared" si="1"/>
        <v>4.7951906490564099E-2</v>
      </c>
      <c r="V5" s="4">
        <f t="shared" si="2"/>
        <v>5.9090856794413065E-4</v>
      </c>
      <c r="X5" s="4">
        <f t="shared" ref="X5:X8" si="3">Q$13/Q5</f>
        <v>3.3099688473520249E-3</v>
      </c>
    </row>
    <row r="6" spans="1:24" x14ac:dyDescent="0.2">
      <c r="A6" s="13">
        <v>5</v>
      </c>
      <c r="B6" s="13" t="s">
        <v>185</v>
      </c>
      <c r="C6" t="s">
        <v>13</v>
      </c>
      <c r="D6" s="13">
        <v>5378</v>
      </c>
      <c r="E6" s="13">
        <v>5278</v>
      </c>
      <c r="F6" s="13">
        <v>5713</v>
      </c>
      <c r="G6" s="13">
        <f>F6-22</f>
        <v>5691</v>
      </c>
      <c r="H6" s="13">
        <v>10</v>
      </c>
      <c r="I6" s="13">
        <v>77.23</v>
      </c>
      <c r="J6" s="13">
        <v>421.78</v>
      </c>
      <c r="K6" s="14">
        <f>G6/H6</f>
        <v>569.1</v>
      </c>
      <c r="N6" s="13" t="s">
        <v>188</v>
      </c>
      <c r="O6" s="14">
        <v>50.775174418604649</v>
      </c>
      <c r="P6" s="14">
        <v>64.933333333333337</v>
      </c>
      <c r="Q6" s="14">
        <v>465.9</v>
      </c>
      <c r="R6" s="14"/>
      <c r="T6" s="4">
        <f t="shared" si="0"/>
        <v>0.10898298866410099</v>
      </c>
      <c r="U6" s="4">
        <f t="shared" si="1"/>
        <v>0.13937182514130358</v>
      </c>
      <c r="V6" s="4">
        <f t="shared" si="2"/>
        <v>5.3602862501006706E-4</v>
      </c>
      <c r="X6" s="4">
        <f t="shared" si="3"/>
        <v>3.6488516849109251E-3</v>
      </c>
    </row>
    <row r="7" spans="1:24" x14ac:dyDescent="0.2">
      <c r="A7" s="13">
        <v>6</v>
      </c>
      <c r="B7" s="13" t="s">
        <v>186</v>
      </c>
      <c r="C7" t="s">
        <v>13</v>
      </c>
      <c r="D7" s="13">
        <v>43</v>
      </c>
      <c r="E7" s="13">
        <v>40</v>
      </c>
      <c r="F7" s="13">
        <v>45</v>
      </c>
      <c r="G7" s="13">
        <f t="shared" ref="G7:G11" si="4">F7-22</f>
        <v>23</v>
      </c>
      <c r="H7" s="13">
        <v>10</v>
      </c>
      <c r="I7" s="13">
        <v>356.15</v>
      </c>
      <c r="J7" s="13">
        <v>428.9</v>
      </c>
      <c r="K7" s="14">
        <f t="shared" ref="K7:K18" si="5">G7/H7</f>
        <v>2.2999999999999998</v>
      </c>
      <c r="N7" s="13" t="s">
        <v>189</v>
      </c>
      <c r="O7" s="14">
        <v>41.146935483870962</v>
      </c>
      <c r="P7" s="14">
        <v>52.679738562091501</v>
      </c>
      <c r="Q7" s="14">
        <v>506.1</v>
      </c>
      <c r="R7" s="14"/>
      <c r="T7" s="4">
        <f t="shared" si="0"/>
        <v>8.1301986729640313E-2</v>
      </c>
      <c r="U7" s="4">
        <f t="shared" si="1"/>
        <v>0.10408958419697985</v>
      </c>
      <c r="V7" s="4">
        <f t="shared" si="2"/>
        <v>5.8227964609915204E-4</v>
      </c>
      <c r="X7" s="4">
        <f t="shared" si="3"/>
        <v>3.3590199565303298E-3</v>
      </c>
    </row>
    <row r="8" spans="1:24" x14ac:dyDescent="0.2">
      <c r="A8" s="13">
        <v>7</v>
      </c>
      <c r="B8" s="13" t="s">
        <v>187</v>
      </c>
      <c r="C8" t="s">
        <v>13</v>
      </c>
      <c r="D8" s="13">
        <v>4859</v>
      </c>
      <c r="E8" s="13">
        <v>4777</v>
      </c>
      <c r="F8" s="13">
        <v>5158</v>
      </c>
      <c r="G8" s="13">
        <f t="shared" si="4"/>
        <v>5136</v>
      </c>
      <c r="H8" s="13">
        <v>10</v>
      </c>
      <c r="I8" s="13">
        <v>79.12</v>
      </c>
      <c r="J8" s="13">
        <v>426.84</v>
      </c>
      <c r="K8" s="14">
        <f t="shared" si="5"/>
        <v>513.6</v>
      </c>
      <c r="N8" s="13" t="s">
        <v>190</v>
      </c>
      <c r="O8" s="14">
        <v>34.962528089887634</v>
      </c>
      <c r="P8" s="14">
        <v>34.571428571428569</v>
      </c>
      <c r="Q8" s="14">
        <v>469.9</v>
      </c>
      <c r="R8" s="14"/>
      <c r="T8" s="4">
        <f t="shared" si="0"/>
        <v>7.4404188316423994E-2</v>
      </c>
      <c r="U8" s="4">
        <f t="shared" si="1"/>
        <v>7.3571884595506648E-2</v>
      </c>
      <c r="V8" s="4">
        <f t="shared" si="2"/>
        <v>5.4063071666072225E-4</v>
      </c>
      <c r="X8" s="4">
        <f t="shared" si="3"/>
        <v>3.6177910193658227E-3</v>
      </c>
    </row>
    <row r="9" spans="1:24" x14ac:dyDescent="0.2">
      <c r="A9" s="13">
        <v>8</v>
      </c>
      <c r="B9" s="13" t="s">
        <v>188</v>
      </c>
      <c r="C9" t="s">
        <v>13</v>
      </c>
      <c r="D9" s="13">
        <v>4402</v>
      </c>
      <c r="E9" s="13">
        <v>4314</v>
      </c>
      <c r="F9" s="13">
        <v>4681</v>
      </c>
      <c r="G9" s="13">
        <f t="shared" si="4"/>
        <v>4659</v>
      </c>
      <c r="H9" s="13">
        <v>10</v>
      </c>
      <c r="I9" s="13">
        <v>72.62</v>
      </c>
      <c r="J9" s="13">
        <v>415.67</v>
      </c>
      <c r="K9" s="14">
        <f t="shared" si="5"/>
        <v>465.9</v>
      </c>
    </row>
    <row r="10" spans="1:24" x14ac:dyDescent="0.2">
      <c r="A10" s="13">
        <v>9</v>
      </c>
      <c r="B10" s="13" t="s">
        <v>189</v>
      </c>
      <c r="C10" t="s">
        <v>13</v>
      </c>
      <c r="D10" s="13">
        <v>4784</v>
      </c>
      <c r="E10" s="13">
        <v>4703</v>
      </c>
      <c r="F10" s="13">
        <v>5083</v>
      </c>
      <c r="G10" s="13">
        <f t="shared" si="4"/>
        <v>5061</v>
      </c>
      <c r="H10" s="13">
        <v>10</v>
      </c>
      <c r="I10" s="13">
        <v>79.52</v>
      </c>
      <c r="J10" s="13">
        <v>420.45</v>
      </c>
      <c r="K10" s="14">
        <f t="shared" si="5"/>
        <v>506.1</v>
      </c>
      <c r="N10" s="42" t="s">
        <v>33</v>
      </c>
      <c r="O10" s="37">
        <f>AVERAGE(O3:O8)</f>
        <v>36.016625676382738</v>
      </c>
      <c r="P10" s="37">
        <f t="shared" ref="P10:Q10" si="6">AVERAGE(P3:P8)</f>
        <v>38.902470206284583</v>
      </c>
      <c r="Q10" s="37">
        <f t="shared" si="6"/>
        <v>421.15000000000003</v>
      </c>
      <c r="R10" s="42"/>
      <c r="S10" s="2"/>
      <c r="T10" s="34">
        <f>AVERAGE(T5:T8,T3)</f>
        <v>8.5530410307257276E-2</v>
      </c>
      <c r="U10" s="34">
        <f t="shared" ref="U10:V10" si="7">AVERAGE(U5:U8,U3)</f>
        <v>9.311025142106584E-2</v>
      </c>
      <c r="V10" s="34">
        <f t="shared" si="7"/>
        <v>5.8092202906220879E-4</v>
      </c>
      <c r="W10" s="2"/>
      <c r="X10" s="2"/>
    </row>
    <row r="11" spans="1:24" x14ac:dyDescent="0.2">
      <c r="A11" s="13">
        <v>10</v>
      </c>
      <c r="B11" s="13" t="s">
        <v>190</v>
      </c>
      <c r="C11" t="s">
        <v>13</v>
      </c>
      <c r="D11" s="13">
        <v>4447</v>
      </c>
      <c r="E11" s="13">
        <v>4366</v>
      </c>
      <c r="F11" s="13">
        <v>4721</v>
      </c>
      <c r="G11" s="13">
        <f t="shared" si="4"/>
        <v>4699</v>
      </c>
      <c r="H11" s="13">
        <v>10</v>
      </c>
      <c r="I11" s="13">
        <v>79.08</v>
      </c>
      <c r="J11" s="13">
        <v>426.48</v>
      </c>
      <c r="K11" s="14">
        <f t="shared" si="5"/>
        <v>469.9</v>
      </c>
    </row>
    <row r="12" spans="1:24" x14ac:dyDescent="0.2">
      <c r="A12" s="13" t="s">
        <v>169</v>
      </c>
      <c r="K12" s="14"/>
    </row>
    <row r="13" spans="1:24" x14ac:dyDescent="0.2">
      <c r="A13" s="13">
        <v>12</v>
      </c>
      <c r="B13" s="13" t="s">
        <v>185</v>
      </c>
      <c r="C13" t="s">
        <v>14</v>
      </c>
      <c r="D13" s="13">
        <v>634</v>
      </c>
      <c r="E13" s="13">
        <v>622</v>
      </c>
      <c r="F13" s="13">
        <v>672</v>
      </c>
      <c r="G13" s="13">
        <f>F13-31</f>
        <v>641</v>
      </c>
      <c r="H13" s="13">
        <v>11.2</v>
      </c>
      <c r="I13" s="13">
        <v>99.01</v>
      </c>
      <c r="J13" s="13">
        <v>437.09</v>
      </c>
      <c r="K13" s="14">
        <f t="shared" si="5"/>
        <v>57.232142857142861</v>
      </c>
      <c r="M13" s="13" t="s">
        <v>218</v>
      </c>
      <c r="N13" s="35" t="s">
        <v>193</v>
      </c>
      <c r="O13" s="35"/>
      <c r="P13" s="35"/>
      <c r="Q13" s="35">
        <v>1.7</v>
      </c>
    </row>
    <row r="14" spans="1:24" x14ac:dyDescent="0.2">
      <c r="A14" s="13">
        <v>13</v>
      </c>
      <c r="B14" s="13" t="s">
        <v>186</v>
      </c>
      <c r="C14" t="s">
        <v>14</v>
      </c>
      <c r="D14" s="13">
        <v>26</v>
      </c>
      <c r="E14" s="13">
        <v>24</v>
      </c>
      <c r="F14" s="13">
        <v>27</v>
      </c>
      <c r="G14" s="13">
        <f t="shared" ref="G14:G18" si="8">F14-31</f>
        <v>-4</v>
      </c>
      <c r="H14" s="13">
        <v>6.35</v>
      </c>
      <c r="I14" s="13">
        <v>661.27</v>
      </c>
      <c r="J14" s="13">
        <v>441.88</v>
      </c>
      <c r="K14" s="14">
        <f t="shared" si="5"/>
        <v>-0.62992125984251968</v>
      </c>
    </row>
    <row r="15" spans="1:24" x14ac:dyDescent="0.2">
      <c r="A15" s="13">
        <v>14</v>
      </c>
      <c r="B15" s="13" t="s">
        <v>187</v>
      </c>
      <c r="C15" t="s">
        <v>14</v>
      </c>
      <c r="D15" s="13">
        <v>311</v>
      </c>
      <c r="E15" s="13">
        <v>304</v>
      </c>
      <c r="F15" s="13">
        <v>329</v>
      </c>
      <c r="G15" s="13">
        <f t="shared" si="8"/>
        <v>298</v>
      </c>
      <c r="H15" s="13">
        <v>12.1</v>
      </c>
      <c r="I15" s="13">
        <v>135.54</v>
      </c>
      <c r="J15" s="13">
        <v>438.48</v>
      </c>
      <c r="K15" s="14">
        <f t="shared" si="5"/>
        <v>24.628099173553721</v>
      </c>
    </row>
    <row r="16" spans="1:24" x14ac:dyDescent="0.2">
      <c r="A16" s="13">
        <v>15</v>
      </c>
      <c r="B16" s="13" t="s">
        <v>188</v>
      </c>
      <c r="C16" t="s">
        <v>14</v>
      </c>
      <c r="D16" s="13">
        <v>489</v>
      </c>
      <c r="E16" s="13">
        <v>478</v>
      </c>
      <c r="F16" s="13">
        <v>518</v>
      </c>
      <c r="G16" s="13">
        <f t="shared" si="8"/>
        <v>487</v>
      </c>
      <c r="H16" s="13">
        <v>7.5</v>
      </c>
      <c r="I16" s="13">
        <v>104.76</v>
      </c>
      <c r="J16" s="13">
        <v>438.24</v>
      </c>
      <c r="K16" s="14">
        <f t="shared" si="5"/>
        <v>64.933333333333337</v>
      </c>
    </row>
    <row r="17" spans="1:11" x14ac:dyDescent="0.2">
      <c r="A17" s="13">
        <v>16</v>
      </c>
      <c r="B17" s="13" t="s">
        <v>189</v>
      </c>
      <c r="C17" t="s">
        <v>14</v>
      </c>
      <c r="D17" s="13">
        <v>789</v>
      </c>
      <c r="E17" s="13">
        <v>776</v>
      </c>
      <c r="F17" s="13">
        <v>837</v>
      </c>
      <c r="G17" s="13">
        <f t="shared" si="8"/>
        <v>806</v>
      </c>
      <c r="H17" s="13">
        <v>15.3</v>
      </c>
      <c r="I17" s="13">
        <v>94.35</v>
      </c>
      <c r="J17" s="13">
        <v>434.65</v>
      </c>
      <c r="K17" s="14">
        <f t="shared" si="5"/>
        <v>52.679738562091501</v>
      </c>
    </row>
    <row r="18" spans="1:11" x14ac:dyDescent="0.2">
      <c r="A18" s="13">
        <v>17</v>
      </c>
      <c r="B18" s="13" t="s">
        <v>190</v>
      </c>
      <c r="C18" t="s">
        <v>14</v>
      </c>
      <c r="D18" s="13">
        <v>372</v>
      </c>
      <c r="E18" s="13">
        <v>363</v>
      </c>
      <c r="F18" s="13">
        <v>394</v>
      </c>
      <c r="G18" s="13">
        <f t="shared" si="8"/>
        <v>363</v>
      </c>
      <c r="H18" s="13">
        <v>10.5</v>
      </c>
      <c r="I18" s="13">
        <v>116.99</v>
      </c>
      <c r="J18" s="13">
        <v>440.7</v>
      </c>
      <c r="K18" s="14">
        <f t="shared" si="5"/>
        <v>34.571428571428569</v>
      </c>
    </row>
    <row r="19" spans="1:11" x14ac:dyDescent="0.2">
      <c r="A19" s="13" t="s">
        <v>179</v>
      </c>
    </row>
    <row r="20" spans="1:11" x14ac:dyDescent="0.2">
      <c r="A20" s="13">
        <v>19</v>
      </c>
      <c r="B20" s="13" t="s">
        <v>191</v>
      </c>
      <c r="C20" t="s">
        <v>51</v>
      </c>
      <c r="D20" s="13">
        <v>82089</v>
      </c>
      <c r="E20" s="13">
        <v>80622</v>
      </c>
      <c r="F20" s="13">
        <v>86938</v>
      </c>
      <c r="G20" s="13">
        <f>F20-21</f>
        <v>86917</v>
      </c>
      <c r="I20" s="13">
        <v>76.28</v>
      </c>
      <c r="J20" s="13">
        <v>442.03</v>
      </c>
      <c r="K20" s="14">
        <f>G20*10</f>
        <v>869170</v>
      </c>
    </row>
    <row r="21" spans="1:11" x14ac:dyDescent="0.2">
      <c r="A21" s="13" t="s">
        <v>163</v>
      </c>
    </row>
    <row r="22" spans="1:11" x14ac:dyDescent="0.2">
      <c r="A22" s="13">
        <v>21</v>
      </c>
      <c r="B22" s="13" t="s">
        <v>192</v>
      </c>
      <c r="C22" t="s">
        <v>13</v>
      </c>
      <c r="D22" s="13">
        <v>45</v>
      </c>
      <c r="E22" s="13">
        <v>42</v>
      </c>
      <c r="F22" s="13">
        <v>48</v>
      </c>
      <c r="G22" s="13">
        <f>F22-F3</f>
        <v>17</v>
      </c>
      <c r="H22" s="13">
        <v>10</v>
      </c>
      <c r="I22" s="13">
        <v>331.33</v>
      </c>
      <c r="J22" s="13">
        <v>435.14</v>
      </c>
      <c r="K22" s="13">
        <f>G22/10</f>
        <v>1.7</v>
      </c>
    </row>
    <row r="25" spans="1:11" x14ac:dyDescent="0.2">
      <c r="A25" s="56" t="s">
        <v>0</v>
      </c>
      <c r="B25" s="56" t="s">
        <v>1</v>
      </c>
      <c r="C25" s="1" t="s">
        <v>2</v>
      </c>
      <c r="D25" s="56" t="s">
        <v>3</v>
      </c>
      <c r="E25" s="56" t="s">
        <v>4</v>
      </c>
      <c r="F25" s="56" t="s">
        <v>5</v>
      </c>
      <c r="G25" s="56" t="s">
        <v>6</v>
      </c>
      <c r="H25" s="56" t="s">
        <v>7</v>
      </c>
      <c r="I25" s="56" t="s">
        <v>8</v>
      </c>
      <c r="J25" s="56" t="s">
        <v>9</v>
      </c>
      <c r="K25" s="42"/>
    </row>
    <row r="26" spans="1:11" x14ac:dyDescent="0.2">
      <c r="A26" s="13">
        <v>1</v>
      </c>
      <c r="C26" t="s">
        <v>56</v>
      </c>
      <c r="D26" s="13">
        <v>23</v>
      </c>
      <c r="E26" s="13">
        <v>20</v>
      </c>
      <c r="F26" s="13">
        <v>25</v>
      </c>
      <c r="I26" s="13">
        <v>585.79999999999995</v>
      </c>
      <c r="J26" s="13">
        <v>286.64999999999998</v>
      </c>
    </row>
    <row r="27" spans="1:11" x14ac:dyDescent="0.2">
      <c r="A27" s="13">
        <v>2</v>
      </c>
      <c r="C27" t="s">
        <v>56</v>
      </c>
      <c r="D27" s="13">
        <v>23</v>
      </c>
      <c r="E27" s="13">
        <v>21</v>
      </c>
      <c r="F27" s="13">
        <v>25</v>
      </c>
      <c r="I27" s="13">
        <v>402.4</v>
      </c>
      <c r="J27" s="13">
        <v>281.11</v>
      </c>
    </row>
    <row r="28" spans="1:11" x14ac:dyDescent="0.2">
      <c r="A28" s="13">
        <v>3</v>
      </c>
      <c r="C28" t="s">
        <v>56</v>
      </c>
      <c r="D28" s="13">
        <v>19</v>
      </c>
      <c r="E28" s="13">
        <v>18</v>
      </c>
      <c r="F28" s="13">
        <v>21</v>
      </c>
      <c r="G28" s="13">
        <f>AVERAGE(F26:F28)</f>
        <v>23.666666666666668</v>
      </c>
      <c r="I28" s="13">
        <v>564.59</v>
      </c>
      <c r="J28" s="13">
        <v>242.73</v>
      </c>
    </row>
    <row r="29" spans="1:11" x14ac:dyDescent="0.2">
      <c r="A29" s="13" t="s">
        <v>26</v>
      </c>
    </row>
    <row r="30" spans="1:11" x14ac:dyDescent="0.2">
      <c r="A30" s="13">
        <v>5</v>
      </c>
      <c r="B30" s="13" t="s">
        <v>185</v>
      </c>
      <c r="C30" t="s">
        <v>59</v>
      </c>
      <c r="D30" s="13">
        <v>805</v>
      </c>
      <c r="E30" s="13">
        <v>791</v>
      </c>
      <c r="F30" s="13">
        <v>871</v>
      </c>
      <c r="G30" s="14">
        <f t="shared" ref="G30:G35" si="9">F30-23.667</f>
        <v>847.33299999999997</v>
      </c>
      <c r="H30" s="13">
        <v>16.8</v>
      </c>
      <c r="I30" s="13">
        <v>85.52</v>
      </c>
      <c r="J30" s="13">
        <v>319</v>
      </c>
      <c r="K30" s="14">
        <f t="shared" ref="K30:K35" si="10">G30/H30</f>
        <v>50.43648809523809</v>
      </c>
    </row>
    <row r="31" spans="1:11" x14ac:dyDescent="0.2">
      <c r="A31" s="13">
        <v>6</v>
      </c>
      <c r="B31" s="13" t="s">
        <v>186</v>
      </c>
      <c r="C31" t="s">
        <v>59</v>
      </c>
      <c r="D31" s="13">
        <v>33</v>
      </c>
      <c r="E31" s="13">
        <v>32</v>
      </c>
      <c r="F31" s="13">
        <v>36</v>
      </c>
      <c r="G31" s="14">
        <f t="shared" si="9"/>
        <v>12.332999999999998</v>
      </c>
      <c r="H31" s="13">
        <v>20.6</v>
      </c>
      <c r="I31" s="13">
        <v>315.05</v>
      </c>
      <c r="J31" s="13">
        <v>307.97000000000003</v>
      </c>
      <c r="K31" s="14">
        <f t="shared" si="10"/>
        <v>0.59868932038834943</v>
      </c>
    </row>
    <row r="32" spans="1:11" x14ac:dyDescent="0.2">
      <c r="A32" s="13">
        <v>7</v>
      </c>
      <c r="B32" s="13" t="s">
        <v>187</v>
      </c>
      <c r="C32" t="s">
        <v>59</v>
      </c>
      <c r="D32" s="13">
        <v>596</v>
      </c>
      <c r="E32" s="13">
        <v>586</v>
      </c>
      <c r="F32" s="13">
        <v>646</v>
      </c>
      <c r="G32" s="14">
        <f t="shared" si="9"/>
        <v>622.33299999999997</v>
      </c>
      <c r="H32" s="13">
        <v>16.3</v>
      </c>
      <c r="I32" s="13">
        <v>83.69</v>
      </c>
      <c r="J32" s="13">
        <v>315.02999999999997</v>
      </c>
      <c r="K32" s="14">
        <f t="shared" si="10"/>
        <v>38.179938650306745</v>
      </c>
    </row>
    <row r="33" spans="1:11" x14ac:dyDescent="0.2">
      <c r="A33" s="13">
        <v>8</v>
      </c>
      <c r="B33" s="13" t="s">
        <v>188</v>
      </c>
      <c r="C33" t="s">
        <v>59</v>
      </c>
      <c r="D33" s="13">
        <v>829</v>
      </c>
      <c r="E33" s="13">
        <v>816</v>
      </c>
      <c r="F33" s="13">
        <v>897</v>
      </c>
      <c r="G33" s="14">
        <f t="shared" si="9"/>
        <v>873.33299999999997</v>
      </c>
      <c r="H33" s="13">
        <v>17.2</v>
      </c>
      <c r="I33" s="13">
        <v>71.459999999999994</v>
      </c>
      <c r="J33" s="13">
        <v>317.94</v>
      </c>
      <c r="K33" s="14">
        <f t="shared" si="10"/>
        <v>50.775174418604649</v>
      </c>
    </row>
    <row r="34" spans="1:11" x14ac:dyDescent="0.2">
      <c r="A34" s="13">
        <v>9</v>
      </c>
      <c r="B34" s="13" t="s">
        <v>189</v>
      </c>
      <c r="C34" t="s">
        <v>59</v>
      </c>
      <c r="D34" s="13">
        <v>728</v>
      </c>
      <c r="E34" s="13">
        <v>718</v>
      </c>
      <c r="F34" s="13">
        <v>789</v>
      </c>
      <c r="G34" s="14">
        <f t="shared" si="9"/>
        <v>765.33299999999997</v>
      </c>
      <c r="H34" s="13">
        <v>18.600000000000001</v>
      </c>
      <c r="I34" s="13">
        <v>79.27</v>
      </c>
      <c r="J34" s="13">
        <v>311.27999999999997</v>
      </c>
      <c r="K34" s="14">
        <f t="shared" si="10"/>
        <v>41.146935483870962</v>
      </c>
    </row>
    <row r="35" spans="1:11" x14ac:dyDescent="0.2">
      <c r="A35" s="13">
        <v>10</v>
      </c>
      <c r="B35" s="13" t="s">
        <v>190</v>
      </c>
      <c r="C35" t="s">
        <v>59</v>
      </c>
      <c r="D35" s="13">
        <v>597</v>
      </c>
      <c r="E35" s="13">
        <v>591</v>
      </c>
      <c r="F35" s="13">
        <v>646</v>
      </c>
      <c r="G35" s="14">
        <f t="shared" si="9"/>
        <v>622.33299999999997</v>
      </c>
      <c r="H35" s="13">
        <v>17.8</v>
      </c>
      <c r="I35" s="13">
        <v>95.07</v>
      </c>
      <c r="J35" s="13">
        <v>316.67</v>
      </c>
      <c r="K35" s="14">
        <f t="shared" si="10"/>
        <v>34.962528089887634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5FD8E-0105-2A49-8DF5-437820880C7B}">
  <dimension ref="A1:Z54"/>
  <sheetViews>
    <sheetView workbookViewId="0">
      <pane ySplit="1" topLeftCell="A12" activePane="bottomLeft" state="frozen"/>
      <selection pane="bottomLeft" activeCell="Q27" sqref="Q27"/>
    </sheetView>
  </sheetViews>
  <sheetFormatPr baseColWidth="10" defaultRowHeight="16" x14ac:dyDescent="0.2"/>
  <cols>
    <col min="1" max="2" width="10.83203125" style="13"/>
    <col min="3" max="3" width="14" bestFit="1" customWidth="1"/>
    <col min="4" max="10" width="10.83203125" style="13"/>
    <col min="11" max="11" width="11.6640625" style="13" bestFit="1" customWidth="1"/>
  </cols>
  <sheetData>
    <row r="1" spans="1:26" s="2" customFormat="1" x14ac:dyDescent="0.2">
      <c r="A1" s="56" t="s">
        <v>0</v>
      </c>
      <c r="B1" s="56" t="s">
        <v>1</v>
      </c>
      <c r="C1" s="1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42" t="s">
        <v>10</v>
      </c>
      <c r="M1" s="12"/>
      <c r="N1" s="12" t="s">
        <v>223</v>
      </c>
      <c r="O1" s="12" t="s">
        <v>184</v>
      </c>
      <c r="P1" s="12" t="s">
        <v>1</v>
      </c>
      <c r="Q1" s="12" t="s">
        <v>12</v>
      </c>
      <c r="R1" s="12" t="s">
        <v>14</v>
      </c>
      <c r="S1" s="12" t="s">
        <v>13</v>
      </c>
      <c r="T1" s="12" t="s">
        <v>16</v>
      </c>
      <c r="U1" s="12"/>
      <c r="V1" s="12" t="s">
        <v>17</v>
      </c>
      <c r="W1" s="12" t="s">
        <v>18</v>
      </c>
      <c r="X1" s="12" t="s">
        <v>19</v>
      </c>
      <c r="Y1" s="12"/>
      <c r="Z1" s="12" t="s">
        <v>133</v>
      </c>
    </row>
    <row r="2" spans="1:26" x14ac:dyDescent="0.2">
      <c r="A2" s="13">
        <v>1</v>
      </c>
      <c r="C2" t="s">
        <v>20</v>
      </c>
      <c r="D2" s="13">
        <v>29</v>
      </c>
      <c r="E2" s="13">
        <v>26</v>
      </c>
      <c r="F2" s="13">
        <v>30</v>
      </c>
      <c r="H2" s="13">
        <v>10</v>
      </c>
      <c r="I2" s="13">
        <v>472.08</v>
      </c>
      <c r="J2" s="13">
        <v>402.95</v>
      </c>
      <c r="M2" s="13" t="s">
        <v>210</v>
      </c>
      <c r="N2" s="13">
        <f>O2-30</f>
        <v>3.0000000000000426</v>
      </c>
      <c r="O2" s="13">
        <v>33.000000000000043</v>
      </c>
      <c r="P2" s="13" t="s">
        <v>211</v>
      </c>
      <c r="Q2" s="14">
        <v>21.355502392344498</v>
      </c>
      <c r="R2" s="14">
        <v>35.869565217391305</v>
      </c>
      <c r="S2" s="13">
        <v>324.3</v>
      </c>
      <c r="T2" s="13">
        <v>52710</v>
      </c>
      <c r="U2" s="13"/>
      <c r="V2" s="27">
        <f>Q2/S2</f>
        <v>6.5851071206736042E-2</v>
      </c>
      <c r="W2" s="27">
        <f>R2/S2</f>
        <v>0.11060612154607248</v>
      </c>
      <c r="X2" s="27">
        <f>S2/52710</f>
        <v>6.1525327262379054E-3</v>
      </c>
      <c r="Y2" s="13"/>
      <c r="Z2" s="27">
        <f>S11/308.2</f>
        <v>0</v>
      </c>
    </row>
    <row r="3" spans="1:26" x14ac:dyDescent="0.2">
      <c r="A3" s="13">
        <v>2</v>
      </c>
      <c r="C3" t="s">
        <v>20</v>
      </c>
      <c r="D3" s="13">
        <v>23</v>
      </c>
      <c r="E3" s="13">
        <v>21</v>
      </c>
      <c r="F3" s="13">
        <v>25</v>
      </c>
      <c r="H3" s="13">
        <v>20</v>
      </c>
      <c r="I3" s="13">
        <v>599.45000000000005</v>
      </c>
      <c r="J3" s="13">
        <v>398.19</v>
      </c>
      <c r="M3" s="13"/>
      <c r="N3" s="13">
        <f t="shared" ref="N3:N8" si="0">O3-30</f>
        <v>7.0000000000000284</v>
      </c>
      <c r="O3" s="13">
        <v>37.000000000000028</v>
      </c>
      <c r="P3" s="13" t="s">
        <v>212</v>
      </c>
      <c r="Q3" s="14">
        <v>20.212350597609561</v>
      </c>
      <c r="R3" s="14">
        <v>17.790697674418606</v>
      </c>
      <c r="S3" s="13">
        <v>340.4</v>
      </c>
      <c r="T3" s="13"/>
      <c r="U3" s="13"/>
      <c r="V3" s="27">
        <f t="shared" ref="V3:V7" si="1">Q3/S3</f>
        <v>5.9378233247971687E-2</v>
      </c>
      <c r="W3" s="27">
        <f t="shared" ref="W3:W6" si="2">R3/S3</f>
        <v>5.2264094225671583E-2</v>
      </c>
      <c r="X3" s="27">
        <f t="shared" ref="X3:X7" si="3">S3/52710</f>
        <v>6.4579776133560987E-3</v>
      </c>
      <c r="Y3" s="13"/>
      <c r="Z3" s="27">
        <f t="shared" ref="Z3:Z8" si="4">S12/308.2</f>
        <v>-4.8669695003244649E-4</v>
      </c>
    </row>
    <row r="4" spans="1:26" x14ac:dyDescent="0.2">
      <c r="A4" s="13">
        <v>3</v>
      </c>
      <c r="C4" t="s">
        <v>22</v>
      </c>
      <c r="D4" s="13">
        <v>22</v>
      </c>
      <c r="E4" s="13">
        <v>20</v>
      </c>
      <c r="F4" s="13">
        <v>23</v>
      </c>
      <c r="I4" s="13">
        <v>511.51</v>
      </c>
      <c r="J4" s="13">
        <v>403.59</v>
      </c>
      <c r="M4" s="13"/>
      <c r="N4" s="13">
        <f t="shared" si="0"/>
        <v>13.000000000000007</v>
      </c>
      <c r="O4" s="13">
        <v>43.000000000000007</v>
      </c>
      <c r="P4" s="13" t="s">
        <v>213</v>
      </c>
      <c r="Q4" s="14">
        <v>19.160077519379843</v>
      </c>
      <c r="R4" s="14">
        <v>28.684210526315791</v>
      </c>
      <c r="S4" s="13">
        <v>318.5</v>
      </c>
      <c r="T4" s="13"/>
      <c r="U4" s="13"/>
      <c r="V4" s="27">
        <f t="shared" si="1"/>
        <v>6.015722926021929E-2</v>
      </c>
      <c r="W4" s="27">
        <f t="shared" si="2"/>
        <v>9.0060315624225409E-2</v>
      </c>
      <c r="X4" s="27">
        <f t="shared" si="3"/>
        <v>6.0424966799468788E-3</v>
      </c>
      <c r="Y4" s="13"/>
      <c r="Z4" s="27">
        <f t="shared" si="4"/>
        <v>1.4600908500973396E-3</v>
      </c>
    </row>
    <row r="5" spans="1:26" x14ac:dyDescent="0.2">
      <c r="A5" s="13">
        <v>4</v>
      </c>
      <c r="C5" t="s">
        <v>24</v>
      </c>
      <c r="D5" s="13">
        <v>21</v>
      </c>
      <c r="E5" s="13">
        <v>19</v>
      </c>
      <c r="F5" s="13">
        <v>22</v>
      </c>
      <c r="I5" s="13">
        <v>594.33000000000004</v>
      </c>
      <c r="J5" s="13">
        <v>412.11</v>
      </c>
      <c r="M5" s="13"/>
      <c r="N5" s="13">
        <f t="shared" si="0"/>
        <v>16.999999999999993</v>
      </c>
      <c r="O5" s="13">
        <v>46.999999999999993</v>
      </c>
      <c r="P5" s="13" t="s">
        <v>214</v>
      </c>
      <c r="Q5" s="14">
        <v>16.92415458937198</v>
      </c>
      <c r="R5" s="14">
        <v>21.176470588235293</v>
      </c>
      <c r="S5" s="13">
        <v>285.8</v>
      </c>
      <c r="T5" s="13"/>
      <c r="U5" s="13"/>
      <c r="V5" s="27">
        <f t="shared" si="1"/>
        <v>5.921677602999293E-2</v>
      </c>
      <c r="W5" s="27">
        <f t="shared" si="2"/>
        <v>7.4095418433293536E-2</v>
      </c>
      <c r="X5" s="27">
        <f t="shared" si="3"/>
        <v>5.4221210396509199E-3</v>
      </c>
      <c r="Y5" s="13"/>
      <c r="Z5" s="27">
        <f t="shared" si="4"/>
        <v>4.9480856586632052E-3</v>
      </c>
    </row>
    <row r="6" spans="1:26" x14ac:dyDescent="0.2">
      <c r="A6" s="13" t="s">
        <v>110</v>
      </c>
      <c r="M6" s="13"/>
      <c r="N6" s="13">
        <f t="shared" si="0"/>
        <v>22.000000000000135</v>
      </c>
      <c r="O6" s="13">
        <v>52.000000000000135</v>
      </c>
      <c r="P6" s="13" t="s">
        <v>215</v>
      </c>
      <c r="Q6" s="14">
        <v>16.510747663551403</v>
      </c>
      <c r="R6" s="14">
        <v>15.081967213114755</v>
      </c>
      <c r="S6" s="13">
        <v>263.60000000000002</v>
      </c>
      <c r="T6" s="13"/>
      <c r="U6" s="13"/>
      <c r="V6" s="27">
        <f t="shared" si="1"/>
        <v>6.2635613291166167E-2</v>
      </c>
      <c r="W6" s="27">
        <f t="shared" si="2"/>
        <v>5.7215353615761584E-2</v>
      </c>
      <c r="X6" s="27">
        <f t="shared" si="3"/>
        <v>5.0009485866059572E-3</v>
      </c>
      <c r="Y6" s="13"/>
      <c r="Z6" s="27">
        <f t="shared" si="4"/>
        <v>6.4081765087605456E-3</v>
      </c>
    </row>
    <row r="7" spans="1:26" x14ac:dyDescent="0.2">
      <c r="A7" s="13">
        <v>6</v>
      </c>
      <c r="B7" s="13" t="s">
        <v>211</v>
      </c>
      <c r="C7" t="s">
        <v>13</v>
      </c>
      <c r="D7" s="13">
        <v>3084</v>
      </c>
      <c r="E7" s="13">
        <v>3004</v>
      </c>
      <c r="F7" s="13">
        <v>3273</v>
      </c>
      <c r="G7" s="13">
        <f>F7-30</f>
        <v>3243</v>
      </c>
      <c r="H7" s="13">
        <v>10</v>
      </c>
      <c r="I7" s="13">
        <v>67.59</v>
      </c>
      <c r="J7" s="13">
        <v>428.87</v>
      </c>
      <c r="K7" s="13">
        <f>G7/H7</f>
        <v>324.3</v>
      </c>
      <c r="M7" s="13"/>
      <c r="N7" s="13">
        <f t="shared" si="0"/>
        <v>26.999999999999957</v>
      </c>
      <c r="O7" s="13">
        <v>56.999999999999957</v>
      </c>
      <c r="P7" s="13" t="s">
        <v>216</v>
      </c>
      <c r="Q7" s="14">
        <v>24.111000000000001</v>
      </c>
      <c r="R7" s="13" t="s">
        <v>81</v>
      </c>
      <c r="S7" s="13">
        <v>316.60000000000002</v>
      </c>
      <c r="T7" s="13"/>
      <c r="U7" s="13"/>
      <c r="V7" s="27">
        <f t="shared" si="1"/>
        <v>7.6156032849020838E-2</v>
      </c>
      <c r="W7" s="27" t="s">
        <v>81</v>
      </c>
      <c r="X7" s="27">
        <f t="shared" si="3"/>
        <v>6.0064503889205086E-3</v>
      </c>
      <c r="Y7" s="13"/>
      <c r="Z7" s="27">
        <f t="shared" si="4"/>
        <v>5.27255029201817E-3</v>
      </c>
    </row>
    <row r="8" spans="1:26" x14ac:dyDescent="0.2">
      <c r="A8" s="13">
        <v>7</v>
      </c>
      <c r="B8" s="13" t="s">
        <v>212</v>
      </c>
      <c r="C8" t="s">
        <v>13</v>
      </c>
      <c r="D8" s="13">
        <v>3233</v>
      </c>
      <c r="E8" s="13">
        <v>3174</v>
      </c>
      <c r="F8" s="13">
        <v>3434</v>
      </c>
      <c r="G8" s="13">
        <f t="shared" ref="G8:G13" si="5">F8-30</f>
        <v>3404</v>
      </c>
      <c r="H8" s="13">
        <v>10</v>
      </c>
      <c r="I8" s="13">
        <v>75.510000000000005</v>
      </c>
      <c r="J8" s="13">
        <v>422.74</v>
      </c>
      <c r="K8" s="13">
        <f t="shared" ref="K8:K37" si="6">G8/H8</f>
        <v>340.4</v>
      </c>
      <c r="M8" s="13"/>
      <c r="N8" s="13">
        <f t="shared" si="0"/>
        <v>32</v>
      </c>
      <c r="O8" s="13">
        <v>62</v>
      </c>
      <c r="P8" s="35" t="s">
        <v>217</v>
      </c>
      <c r="Q8" s="36">
        <v>0.2587378640776698</v>
      </c>
      <c r="R8" s="36">
        <v>-2.8571428571428572</v>
      </c>
      <c r="S8" s="35">
        <v>-1.1000000000000001</v>
      </c>
      <c r="T8" s="13"/>
      <c r="U8" s="13"/>
      <c r="V8" s="13"/>
      <c r="W8" s="13"/>
      <c r="X8" s="13"/>
      <c r="Y8" s="13"/>
      <c r="Z8" s="27">
        <f t="shared" si="4"/>
        <v>5.5970149253731349E-3</v>
      </c>
    </row>
    <row r="9" spans="1:26" x14ac:dyDescent="0.2">
      <c r="A9" s="13">
        <v>8</v>
      </c>
      <c r="B9" s="13" t="s">
        <v>213</v>
      </c>
      <c r="C9" t="s">
        <v>13</v>
      </c>
      <c r="D9" s="13">
        <v>3031</v>
      </c>
      <c r="E9" s="13">
        <v>2959</v>
      </c>
      <c r="F9" s="13">
        <v>3215</v>
      </c>
      <c r="G9" s="13">
        <f t="shared" si="5"/>
        <v>3185</v>
      </c>
      <c r="H9" s="13">
        <v>10</v>
      </c>
      <c r="I9" s="13">
        <v>74.540000000000006</v>
      </c>
      <c r="J9" s="13">
        <v>432.19</v>
      </c>
      <c r="K9" s="13">
        <f t="shared" si="6"/>
        <v>318.5</v>
      </c>
      <c r="M9" s="13"/>
      <c r="N9" s="13"/>
      <c r="O9" s="13"/>
      <c r="P9" s="12" t="s">
        <v>33</v>
      </c>
      <c r="Q9" s="37">
        <f>AVERAGE(Q2:Q7)</f>
        <v>19.712305460376214</v>
      </c>
      <c r="R9" s="37">
        <f t="shared" ref="R9:X9" si="7">AVERAGE(R2:R7)</f>
        <v>23.720582243895148</v>
      </c>
      <c r="S9" s="37">
        <f t="shared" si="7"/>
        <v>308.2</v>
      </c>
      <c r="T9" s="37"/>
      <c r="U9" s="37"/>
      <c r="V9" s="38">
        <f t="shared" si="7"/>
        <v>6.3899159314184495E-2</v>
      </c>
      <c r="W9" s="38">
        <f t="shared" si="7"/>
        <v>7.6848260689004924E-2</v>
      </c>
      <c r="X9" s="38">
        <f t="shared" si="7"/>
        <v>5.8470878391197112E-3</v>
      </c>
      <c r="Y9" s="13"/>
      <c r="Z9" s="27"/>
    </row>
    <row r="10" spans="1:26" x14ac:dyDescent="0.2">
      <c r="A10" s="13">
        <v>9</v>
      </c>
      <c r="B10" s="13" t="s">
        <v>214</v>
      </c>
      <c r="C10" t="s">
        <v>13</v>
      </c>
      <c r="D10" s="13">
        <v>2722</v>
      </c>
      <c r="E10" s="13">
        <v>2665</v>
      </c>
      <c r="F10" s="13">
        <v>2888</v>
      </c>
      <c r="G10" s="13">
        <f t="shared" si="5"/>
        <v>2858</v>
      </c>
      <c r="H10" s="13">
        <v>10</v>
      </c>
      <c r="I10" s="13">
        <v>76.8</v>
      </c>
      <c r="J10" s="13">
        <v>428.9</v>
      </c>
      <c r="K10" s="13">
        <f t="shared" si="6"/>
        <v>285.8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x14ac:dyDescent="0.2">
      <c r="A11" s="13">
        <v>10</v>
      </c>
      <c r="B11" s="13" t="s">
        <v>215</v>
      </c>
      <c r="C11" t="s">
        <v>13</v>
      </c>
      <c r="D11" s="13">
        <v>2512</v>
      </c>
      <c r="E11" s="13">
        <v>2461</v>
      </c>
      <c r="F11" s="13">
        <v>2666</v>
      </c>
      <c r="G11" s="13">
        <f t="shared" si="5"/>
        <v>2636</v>
      </c>
      <c r="H11" s="13">
        <v>10</v>
      </c>
      <c r="I11" s="13">
        <v>77.97</v>
      </c>
      <c r="J11" s="13">
        <v>427.54</v>
      </c>
      <c r="K11" s="13">
        <f t="shared" si="6"/>
        <v>263.60000000000002</v>
      </c>
      <c r="M11" s="13" t="s">
        <v>218</v>
      </c>
      <c r="N11" s="13"/>
      <c r="O11" s="13">
        <v>-3.9999999999999858</v>
      </c>
      <c r="P11" s="13" t="s">
        <v>219</v>
      </c>
      <c r="Q11" s="13"/>
      <c r="R11" s="13"/>
      <c r="S11" s="14">
        <v>0</v>
      </c>
      <c r="T11" s="13"/>
      <c r="U11" s="13"/>
      <c r="V11" s="13"/>
      <c r="W11" s="13"/>
      <c r="X11" s="13"/>
      <c r="Y11" s="13"/>
      <c r="Z11" s="13"/>
    </row>
    <row r="12" spans="1:26" x14ac:dyDescent="0.2">
      <c r="A12" s="13">
        <v>11</v>
      </c>
      <c r="B12" s="13" t="s">
        <v>216</v>
      </c>
      <c r="C12" t="s">
        <v>13</v>
      </c>
      <c r="D12" s="13">
        <v>3013</v>
      </c>
      <c r="E12" s="13">
        <v>2962</v>
      </c>
      <c r="F12" s="13">
        <v>3196</v>
      </c>
      <c r="G12" s="13">
        <f t="shared" si="5"/>
        <v>3166</v>
      </c>
      <c r="H12" s="13">
        <v>10</v>
      </c>
      <c r="I12" s="13">
        <v>82.45</v>
      </c>
      <c r="J12" s="13">
        <v>432.2</v>
      </c>
      <c r="K12" s="13">
        <f t="shared" si="6"/>
        <v>316.60000000000002</v>
      </c>
      <c r="M12" s="13"/>
      <c r="N12" s="13"/>
      <c r="O12" s="13">
        <v>11.999999999999957</v>
      </c>
      <c r="P12" s="13"/>
      <c r="Q12" s="13"/>
      <c r="R12" s="13"/>
      <c r="S12" s="14">
        <v>-0.15</v>
      </c>
      <c r="T12" s="13"/>
      <c r="U12" s="13"/>
      <c r="V12" s="13"/>
      <c r="W12" s="15"/>
      <c r="X12" s="13"/>
      <c r="Y12" s="13"/>
      <c r="Z12" s="13"/>
    </row>
    <row r="13" spans="1:26" x14ac:dyDescent="0.2">
      <c r="A13" s="13">
        <v>12</v>
      </c>
      <c r="B13" s="13" t="s">
        <v>217</v>
      </c>
      <c r="C13" t="s">
        <v>13</v>
      </c>
      <c r="D13" s="13">
        <v>18</v>
      </c>
      <c r="E13" s="13">
        <v>17</v>
      </c>
      <c r="F13" s="13">
        <v>19</v>
      </c>
      <c r="G13" s="13">
        <f t="shared" si="5"/>
        <v>-11</v>
      </c>
      <c r="H13" s="13">
        <v>10</v>
      </c>
      <c r="I13" s="13">
        <v>484.86</v>
      </c>
      <c r="J13" s="13">
        <v>431.61</v>
      </c>
      <c r="K13" s="13">
        <f t="shared" si="6"/>
        <v>-1.1000000000000001</v>
      </c>
      <c r="M13" s="13"/>
      <c r="N13" s="13"/>
      <c r="O13" s="13">
        <v>27.000000000000064</v>
      </c>
      <c r="P13" s="13"/>
      <c r="Q13" s="13"/>
      <c r="R13" s="13"/>
      <c r="S13" s="14">
        <v>0.45</v>
      </c>
      <c r="T13" s="27"/>
      <c r="U13" s="13"/>
      <c r="V13" s="13"/>
      <c r="W13" s="15"/>
      <c r="X13" s="13"/>
      <c r="Y13" s="13"/>
      <c r="Z13" s="13"/>
    </row>
    <row r="14" spans="1:26" x14ac:dyDescent="0.2">
      <c r="A14" s="13" t="s">
        <v>34</v>
      </c>
      <c r="M14" s="13"/>
      <c r="N14" s="13"/>
      <c r="O14" s="13">
        <v>44</v>
      </c>
      <c r="P14" s="13"/>
      <c r="Q14" s="13"/>
      <c r="R14" s="13"/>
      <c r="S14" s="14">
        <v>1.5249999999999999</v>
      </c>
      <c r="T14" s="27"/>
      <c r="U14" s="13"/>
      <c r="V14" s="13"/>
      <c r="W14" s="15"/>
      <c r="X14" s="13"/>
      <c r="Y14" s="13"/>
      <c r="Z14" s="13"/>
    </row>
    <row r="15" spans="1:26" x14ac:dyDescent="0.2">
      <c r="A15" s="13">
        <v>14</v>
      </c>
      <c r="B15" s="13" t="s">
        <v>219</v>
      </c>
      <c r="C15" t="s">
        <v>14</v>
      </c>
      <c r="D15" s="13">
        <v>15</v>
      </c>
      <c r="E15" s="13">
        <v>15</v>
      </c>
      <c r="F15" s="13">
        <v>16</v>
      </c>
      <c r="G15" s="13">
        <f>F15-23</f>
        <v>-7</v>
      </c>
      <c r="H15" s="13">
        <v>48.9</v>
      </c>
      <c r="I15" s="13">
        <v>646.01</v>
      </c>
      <c r="J15" s="13">
        <v>420.07</v>
      </c>
      <c r="K15" s="14">
        <f t="shared" si="6"/>
        <v>-0.14314928425357873</v>
      </c>
      <c r="M15" s="13"/>
      <c r="N15" s="13"/>
      <c r="O15" s="13">
        <v>56.999999999999957</v>
      </c>
      <c r="P15" s="13"/>
      <c r="Q15" s="13"/>
      <c r="R15" s="13"/>
      <c r="S15" s="14">
        <v>1.9750000000000001</v>
      </c>
      <c r="T15" s="27"/>
      <c r="U15" s="13"/>
      <c r="V15" s="13"/>
      <c r="W15" s="15"/>
      <c r="X15" s="13"/>
      <c r="Y15" s="13"/>
      <c r="Z15" s="13"/>
    </row>
    <row r="16" spans="1:26" x14ac:dyDescent="0.2">
      <c r="A16" s="13">
        <v>15</v>
      </c>
      <c r="B16" s="13" t="s">
        <v>211</v>
      </c>
      <c r="C16" t="s">
        <v>14</v>
      </c>
      <c r="D16" s="13">
        <v>178</v>
      </c>
      <c r="E16" s="13">
        <v>175</v>
      </c>
      <c r="F16" s="13">
        <v>188</v>
      </c>
      <c r="G16" s="13">
        <f t="shared" ref="G16:G21" si="8">F16-23</f>
        <v>165</v>
      </c>
      <c r="H16" s="13">
        <v>4.5999999999999996</v>
      </c>
      <c r="I16" s="13">
        <v>166.57</v>
      </c>
      <c r="J16" s="13">
        <v>440.14</v>
      </c>
      <c r="K16" s="14">
        <f t="shared" si="6"/>
        <v>35.869565217391305</v>
      </c>
      <c r="M16" s="13"/>
      <c r="N16" s="13"/>
      <c r="O16" s="13">
        <v>86.000000000000014</v>
      </c>
      <c r="P16" s="13"/>
      <c r="Q16" s="13"/>
      <c r="R16" s="13"/>
      <c r="S16" s="14">
        <v>1.625</v>
      </c>
      <c r="T16" s="27"/>
      <c r="U16" s="13"/>
      <c r="V16" s="13"/>
      <c r="W16" s="15"/>
      <c r="X16" s="13"/>
      <c r="Y16" s="13"/>
      <c r="Z16" s="13"/>
    </row>
    <row r="17" spans="1:26" x14ac:dyDescent="0.2">
      <c r="A17" s="13">
        <v>16</v>
      </c>
      <c r="B17" s="13" t="s">
        <v>212</v>
      </c>
      <c r="C17" t="s">
        <v>14</v>
      </c>
      <c r="D17" s="13">
        <v>166</v>
      </c>
      <c r="E17" s="13">
        <v>163</v>
      </c>
      <c r="F17" s="13">
        <v>176</v>
      </c>
      <c r="G17" s="13">
        <f t="shared" si="8"/>
        <v>153</v>
      </c>
      <c r="H17" s="13">
        <v>8.6</v>
      </c>
      <c r="I17" s="13">
        <v>156.68</v>
      </c>
      <c r="J17" s="13">
        <v>440</v>
      </c>
      <c r="K17" s="14">
        <f t="shared" si="6"/>
        <v>17.790697674418606</v>
      </c>
      <c r="M17" s="13"/>
      <c r="N17" s="13"/>
      <c r="O17" s="13">
        <v>101.99999999999996</v>
      </c>
      <c r="P17" s="13"/>
      <c r="Q17" s="13">
        <v>0</v>
      </c>
      <c r="R17" s="3">
        <v>-0.14314928425357873</v>
      </c>
      <c r="S17" s="14">
        <v>1.7250000000000001</v>
      </c>
      <c r="T17" s="27"/>
      <c r="U17" s="13"/>
      <c r="V17" s="13"/>
      <c r="W17" s="15"/>
      <c r="X17" s="13"/>
      <c r="Y17" s="13"/>
      <c r="Z17" s="13"/>
    </row>
    <row r="18" spans="1:26" x14ac:dyDescent="0.2">
      <c r="A18" s="13">
        <v>17</v>
      </c>
      <c r="B18" s="13" t="s">
        <v>213</v>
      </c>
      <c r="C18" t="s">
        <v>14</v>
      </c>
      <c r="D18" s="13">
        <v>124</v>
      </c>
      <c r="E18" s="13">
        <v>120</v>
      </c>
      <c r="F18" s="13">
        <v>132</v>
      </c>
      <c r="G18" s="13">
        <f t="shared" si="8"/>
        <v>109</v>
      </c>
      <c r="H18" s="13">
        <v>3.8</v>
      </c>
      <c r="I18" s="13">
        <v>179.02</v>
      </c>
      <c r="J18" s="13">
        <v>449.13</v>
      </c>
      <c r="K18" s="14">
        <f t="shared" si="6"/>
        <v>28.684210526315791</v>
      </c>
    </row>
    <row r="19" spans="1:26" x14ac:dyDescent="0.2">
      <c r="A19" s="13">
        <v>18</v>
      </c>
      <c r="B19" s="13" t="s">
        <v>214</v>
      </c>
      <c r="C19" t="s">
        <v>14</v>
      </c>
      <c r="D19" s="13">
        <v>158</v>
      </c>
      <c r="E19" s="13">
        <v>155</v>
      </c>
      <c r="F19" s="13">
        <v>167</v>
      </c>
      <c r="G19" s="13">
        <f t="shared" si="8"/>
        <v>144</v>
      </c>
      <c r="H19" s="13">
        <v>6.8</v>
      </c>
      <c r="I19" s="13">
        <v>180.81</v>
      </c>
      <c r="J19" s="13">
        <v>441.02</v>
      </c>
      <c r="K19" s="14">
        <f t="shared" si="6"/>
        <v>21.176470588235293</v>
      </c>
    </row>
    <row r="20" spans="1:26" x14ac:dyDescent="0.2">
      <c r="A20" s="13">
        <v>19</v>
      </c>
      <c r="B20" s="13" t="s">
        <v>215</v>
      </c>
      <c r="C20" t="s">
        <v>14</v>
      </c>
      <c r="D20" s="13">
        <v>108</v>
      </c>
      <c r="E20" s="13">
        <v>106</v>
      </c>
      <c r="F20" s="13">
        <v>115</v>
      </c>
      <c r="G20" s="13">
        <f t="shared" si="8"/>
        <v>92</v>
      </c>
      <c r="H20" s="13">
        <v>6.1</v>
      </c>
      <c r="I20" s="13">
        <v>167.18</v>
      </c>
      <c r="J20" s="13">
        <v>435.45</v>
      </c>
      <c r="K20" s="14">
        <f t="shared" si="6"/>
        <v>15.081967213114755</v>
      </c>
    </row>
    <row r="21" spans="1:26" x14ac:dyDescent="0.2">
      <c r="A21" s="13">
        <v>20</v>
      </c>
      <c r="B21" s="13" t="s">
        <v>217</v>
      </c>
      <c r="C21" t="s">
        <v>14</v>
      </c>
      <c r="D21" s="13">
        <v>14</v>
      </c>
      <c r="E21" s="13">
        <v>13</v>
      </c>
      <c r="F21" s="13">
        <v>15</v>
      </c>
      <c r="G21" s="13">
        <f t="shared" si="8"/>
        <v>-8</v>
      </c>
      <c r="H21" s="13">
        <v>2.8</v>
      </c>
      <c r="I21" s="13">
        <v>743.61</v>
      </c>
      <c r="J21" s="13">
        <v>445.47</v>
      </c>
      <c r="K21" s="14">
        <f t="shared" si="6"/>
        <v>-2.8571428571428572</v>
      </c>
    </row>
    <row r="22" spans="1:26" x14ac:dyDescent="0.2">
      <c r="A22" s="35" t="s">
        <v>106</v>
      </c>
      <c r="B22" s="35"/>
      <c r="C22" s="6"/>
      <c r="D22" s="35"/>
      <c r="E22" s="35"/>
      <c r="F22" s="35"/>
      <c r="G22" s="35"/>
      <c r="H22" s="35"/>
      <c r="I22" s="35"/>
      <c r="J22" s="35"/>
      <c r="K22" s="36"/>
      <c r="L22" s="6"/>
      <c r="M22" s="6"/>
      <c r="N22" s="6"/>
    </row>
    <row r="23" spans="1:26" x14ac:dyDescent="0.2">
      <c r="A23" s="35">
        <v>22</v>
      </c>
      <c r="B23" s="35" t="s">
        <v>219</v>
      </c>
      <c r="C23" s="6" t="s">
        <v>40</v>
      </c>
      <c r="D23" s="35">
        <v>15</v>
      </c>
      <c r="E23" s="35">
        <v>14</v>
      </c>
      <c r="F23" s="35">
        <v>16</v>
      </c>
      <c r="G23" s="35">
        <f>F23-25</f>
        <v>-9</v>
      </c>
      <c r="H23" s="35">
        <v>20</v>
      </c>
      <c r="I23" s="35">
        <v>872</v>
      </c>
      <c r="J23" s="35">
        <v>418.99</v>
      </c>
      <c r="K23" s="36">
        <f t="shared" si="6"/>
        <v>-0.45</v>
      </c>
      <c r="L23" s="6"/>
      <c r="M23" s="6"/>
      <c r="N23" s="32"/>
    </row>
    <row r="24" spans="1:26" x14ac:dyDescent="0.2">
      <c r="A24" s="35">
        <v>23</v>
      </c>
      <c r="B24" s="35" t="s">
        <v>219</v>
      </c>
      <c r="C24" s="6" t="s">
        <v>41</v>
      </c>
      <c r="D24" s="35">
        <v>15</v>
      </c>
      <c r="E24" s="35">
        <v>15</v>
      </c>
      <c r="F24" s="35">
        <v>16</v>
      </c>
      <c r="G24" s="35">
        <f t="shared" ref="G24:G37" si="9">F24-25</f>
        <v>-9</v>
      </c>
      <c r="H24" s="35">
        <v>20</v>
      </c>
      <c r="I24" s="35">
        <v>855.47</v>
      </c>
      <c r="J24" s="35">
        <v>397.04</v>
      </c>
      <c r="K24" s="36">
        <f t="shared" si="6"/>
        <v>-0.45</v>
      </c>
      <c r="L24" s="6"/>
      <c r="M24" s="6"/>
      <c r="N24" s="32"/>
    </row>
    <row r="25" spans="1:26" x14ac:dyDescent="0.2">
      <c r="A25" s="35">
        <v>24</v>
      </c>
      <c r="B25" s="35" t="s">
        <v>219</v>
      </c>
      <c r="C25" s="6" t="s">
        <v>42</v>
      </c>
      <c r="D25" s="35">
        <v>22</v>
      </c>
      <c r="E25" s="35">
        <v>21</v>
      </c>
      <c r="F25" s="35">
        <v>23</v>
      </c>
      <c r="G25" s="35">
        <f t="shared" si="9"/>
        <v>-2</v>
      </c>
      <c r="H25" s="35">
        <v>20</v>
      </c>
      <c r="I25" s="35">
        <v>472.94</v>
      </c>
      <c r="J25" s="35">
        <v>407.57</v>
      </c>
      <c r="K25" s="36">
        <f t="shared" si="6"/>
        <v>-0.1</v>
      </c>
      <c r="L25" s="6" t="s">
        <v>288</v>
      </c>
      <c r="M25" s="6"/>
      <c r="N25" s="32"/>
    </row>
    <row r="26" spans="1:26" x14ac:dyDescent="0.2">
      <c r="A26" s="35">
        <v>25</v>
      </c>
      <c r="B26" s="35" t="s">
        <v>219</v>
      </c>
      <c r="C26" s="6" t="s">
        <v>43</v>
      </c>
      <c r="D26" s="35">
        <v>50</v>
      </c>
      <c r="E26" s="35">
        <v>49</v>
      </c>
      <c r="F26" s="35">
        <v>53</v>
      </c>
      <c r="G26" s="35">
        <f t="shared" si="9"/>
        <v>28</v>
      </c>
      <c r="H26" s="35">
        <v>20</v>
      </c>
      <c r="I26" s="35">
        <v>279.07</v>
      </c>
      <c r="J26" s="35">
        <v>413.19</v>
      </c>
      <c r="K26" s="36">
        <f t="shared" si="6"/>
        <v>1.4</v>
      </c>
      <c r="L26" s="6"/>
      <c r="M26" s="6"/>
      <c r="N26" s="32"/>
    </row>
    <row r="27" spans="1:26" x14ac:dyDescent="0.2">
      <c r="A27" s="35">
        <v>26</v>
      </c>
      <c r="B27" s="35" t="s">
        <v>219</v>
      </c>
      <c r="C27" s="6" t="s">
        <v>44</v>
      </c>
      <c r="D27" s="35">
        <v>58</v>
      </c>
      <c r="E27" s="35">
        <v>55</v>
      </c>
      <c r="F27" s="35">
        <v>61</v>
      </c>
      <c r="G27" s="35">
        <f t="shared" si="9"/>
        <v>36</v>
      </c>
      <c r="H27" s="35">
        <v>20</v>
      </c>
      <c r="I27" s="35">
        <v>304.76</v>
      </c>
      <c r="J27" s="35">
        <v>408.55</v>
      </c>
      <c r="K27" s="36">
        <f t="shared" si="6"/>
        <v>1.8</v>
      </c>
      <c r="L27" s="6"/>
      <c r="M27" s="6"/>
      <c r="N27" s="32"/>
    </row>
    <row r="28" spans="1:26" x14ac:dyDescent="0.2">
      <c r="A28" s="35">
        <v>27</v>
      </c>
      <c r="B28" s="35" t="s">
        <v>219</v>
      </c>
      <c r="C28" s="6" t="s">
        <v>45</v>
      </c>
      <c r="D28" s="35">
        <v>46</v>
      </c>
      <c r="E28" s="35">
        <v>45</v>
      </c>
      <c r="F28" s="35">
        <v>49</v>
      </c>
      <c r="G28" s="35">
        <f t="shared" si="9"/>
        <v>24</v>
      </c>
      <c r="H28" s="35">
        <v>20</v>
      </c>
      <c r="I28" s="35">
        <v>351.73</v>
      </c>
      <c r="J28" s="35">
        <v>425.3</v>
      </c>
      <c r="K28" s="36">
        <f t="shared" si="6"/>
        <v>1.2</v>
      </c>
      <c r="L28" s="6"/>
      <c r="M28" s="6"/>
      <c r="N28" s="32"/>
    </row>
    <row r="29" spans="1:26" x14ac:dyDescent="0.2">
      <c r="A29" s="35">
        <v>28</v>
      </c>
      <c r="B29" s="35" t="s">
        <v>219</v>
      </c>
      <c r="C29" s="6" t="s">
        <v>46</v>
      </c>
      <c r="D29" s="35">
        <v>47</v>
      </c>
      <c r="E29" s="35">
        <v>45</v>
      </c>
      <c r="F29" s="35">
        <v>50</v>
      </c>
      <c r="G29" s="35">
        <f t="shared" si="9"/>
        <v>25</v>
      </c>
      <c r="H29" s="35">
        <v>20</v>
      </c>
      <c r="I29" s="35">
        <v>240.88</v>
      </c>
      <c r="J29" s="35">
        <v>422.15</v>
      </c>
      <c r="K29" s="36">
        <f t="shared" si="6"/>
        <v>1.25</v>
      </c>
      <c r="L29" s="6"/>
      <c r="M29" s="6"/>
      <c r="N29" s="32"/>
    </row>
    <row r="30" spans="1:26" x14ac:dyDescent="0.2">
      <c r="A30" s="13" t="s">
        <v>220</v>
      </c>
      <c r="K30" s="14"/>
    </row>
    <row r="31" spans="1:26" x14ac:dyDescent="0.2">
      <c r="A31" s="13">
        <v>30</v>
      </c>
      <c r="B31" s="13" t="s">
        <v>219</v>
      </c>
      <c r="C31" t="s">
        <v>40</v>
      </c>
      <c r="D31" s="13">
        <v>16</v>
      </c>
      <c r="E31" s="13">
        <v>16</v>
      </c>
      <c r="F31" s="13">
        <v>18</v>
      </c>
      <c r="G31" s="13">
        <f t="shared" si="9"/>
        <v>-7</v>
      </c>
      <c r="H31" s="13">
        <v>40</v>
      </c>
      <c r="I31" s="13">
        <v>662.82</v>
      </c>
      <c r="J31" s="13">
        <v>381.17</v>
      </c>
      <c r="K31" s="14">
        <f t="shared" si="6"/>
        <v>-0.17499999999999999</v>
      </c>
      <c r="M31" s="3"/>
    </row>
    <row r="32" spans="1:26" x14ac:dyDescent="0.2">
      <c r="A32" s="13">
        <v>31</v>
      </c>
      <c r="B32" s="13" t="s">
        <v>219</v>
      </c>
      <c r="C32" t="s">
        <v>41</v>
      </c>
      <c r="D32" s="13">
        <v>18</v>
      </c>
      <c r="E32" s="13">
        <v>16</v>
      </c>
      <c r="F32" s="13">
        <v>19</v>
      </c>
      <c r="G32" s="13">
        <f t="shared" si="9"/>
        <v>-6</v>
      </c>
      <c r="H32" s="13">
        <v>40</v>
      </c>
      <c r="I32" s="13">
        <v>918.55</v>
      </c>
      <c r="J32" s="13">
        <v>362.87</v>
      </c>
      <c r="K32" s="14">
        <f t="shared" si="6"/>
        <v>-0.15</v>
      </c>
      <c r="M32" s="3"/>
    </row>
    <row r="33" spans="1:13" x14ac:dyDescent="0.2">
      <c r="A33" s="13">
        <v>32</v>
      </c>
      <c r="B33" s="13" t="s">
        <v>219</v>
      </c>
      <c r="C33" t="s">
        <v>42</v>
      </c>
      <c r="D33" s="13">
        <v>40</v>
      </c>
      <c r="E33" s="13">
        <v>38</v>
      </c>
      <c r="F33" s="13">
        <v>43</v>
      </c>
      <c r="G33" s="13">
        <f t="shared" si="9"/>
        <v>18</v>
      </c>
      <c r="H33" s="13">
        <v>40</v>
      </c>
      <c r="I33" s="13">
        <v>328.68</v>
      </c>
      <c r="J33" s="13">
        <v>375.5</v>
      </c>
      <c r="K33" s="14">
        <f t="shared" si="6"/>
        <v>0.45</v>
      </c>
      <c r="M33" s="3"/>
    </row>
    <row r="34" spans="1:13" x14ac:dyDescent="0.2">
      <c r="A34" s="13">
        <v>33</v>
      </c>
      <c r="B34" s="13" t="s">
        <v>219</v>
      </c>
      <c r="C34" t="s">
        <v>43</v>
      </c>
      <c r="D34" s="13">
        <v>80</v>
      </c>
      <c r="E34" s="13">
        <v>79</v>
      </c>
      <c r="F34" s="13">
        <v>86</v>
      </c>
      <c r="G34" s="13">
        <f t="shared" si="9"/>
        <v>61</v>
      </c>
      <c r="H34" s="13">
        <v>40</v>
      </c>
      <c r="I34" s="13">
        <v>215.4</v>
      </c>
      <c r="J34" s="13">
        <v>392.83</v>
      </c>
      <c r="K34" s="14">
        <f t="shared" si="6"/>
        <v>1.5249999999999999</v>
      </c>
      <c r="M34" s="3"/>
    </row>
    <row r="35" spans="1:13" x14ac:dyDescent="0.2">
      <c r="A35" s="13">
        <v>34</v>
      </c>
      <c r="B35" s="13" t="s">
        <v>219</v>
      </c>
      <c r="C35" t="s">
        <v>44</v>
      </c>
      <c r="D35" s="13">
        <v>97</v>
      </c>
      <c r="E35" s="13">
        <v>93</v>
      </c>
      <c r="F35" s="13">
        <v>104</v>
      </c>
      <c r="G35" s="13">
        <f t="shared" si="9"/>
        <v>79</v>
      </c>
      <c r="H35" s="13">
        <v>40</v>
      </c>
      <c r="I35" s="13">
        <v>221.96</v>
      </c>
      <c r="J35" s="13">
        <v>375.5</v>
      </c>
      <c r="K35" s="14">
        <f t="shared" si="6"/>
        <v>1.9750000000000001</v>
      </c>
      <c r="M35" s="3"/>
    </row>
    <row r="36" spans="1:13" x14ac:dyDescent="0.2">
      <c r="A36" s="13">
        <v>35</v>
      </c>
      <c r="B36" s="13" t="s">
        <v>219</v>
      </c>
      <c r="C36" t="s">
        <v>45</v>
      </c>
      <c r="D36" s="13">
        <v>84</v>
      </c>
      <c r="E36" s="13">
        <v>81</v>
      </c>
      <c r="F36" s="13">
        <v>90</v>
      </c>
      <c r="G36" s="13">
        <f t="shared" si="9"/>
        <v>65</v>
      </c>
      <c r="H36" s="13">
        <v>40</v>
      </c>
      <c r="I36" s="13">
        <v>202.95</v>
      </c>
      <c r="J36" s="13">
        <v>400.49</v>
      </c>
      <c r="K36" s="14">
        <f t="shared" si="6"/>
        <v>1.625</v>
      </c>
      <c r="M36" s="3"/>
    </row>
    <row r="37" spans="1:13" x14ac:dyDescent="0.2">
      <c r="A37" s="13">
        <v>36</v>
      </c>
      <c r="B37" s="13" t="s">
        <v>219</v>
      </c>
      <c r="C37" t="s">
        <v>46</v>
      </c>
      <c r="D37" s="13">
        <v>88</v>
      </c>
      <c r="E37" s="13">
        <v>87</v>
      </c>
      <c r="F37" s="13">
        <v>94</v>
      </c>
      <c r="G37" s="13">
        <f t="shared" si="9"/>
        <v>69</v>
      </c>
      <c r="H37" s="13">
        <v>40</v>
      </c>
      <c r="I37" s="13">
        <v>209.1</v>
      </c>
      <c r="J37" s="13">
        <v>402.15</v>
      </c>
      <c r="K37" s="14">
        <f t="shared" si="6"/>
        <v>1.7250000000000001</v>
      </c>
      <c r="M37" s="3"/>
    </row>
    <row r="38" spans="1:13" x14ac:dyDescent="0.2">
      <c r="A38" s="13">
        <v>37</v>
      </c>
      <c r="B38" s="13" t="s">
        <v>221</v>
      </c>
      <c r="C38" t="s">
        <v>51</v>
      </c>
      <c r="D38" s="13">
        <v>5003</v>
      </c>
      <c r="E38" s="13">
        <v>4913</v>
      </c>
      <c r="F38" s="13">
        <v>5293</v>
      </c>
      <c r="G38" s="13">
        <f>F38-22</f>
        <v>5271</v>
      </c>
      <c r="H38" s="13">
        <v>1</v>
      </c>
      <c r="I38" s="13">
        <v>80.739999999999995</v>
      </c>
      <c r="J38" s="13">
        <v>448.7</v>
      </c>
      <c r="K38" s="14">
        <f>G38*10</f>
        <v>52710</v>
      </c>
    </row>
    <row r="40" spans="1:13" x14ac:dyDescent="0.2">
      <c r="A40" s="56" t="s">
        <v>0</v>
      </c>
      <c r="B40" s="56" t="s">
        <v>1</v>
      </c>
      <c r="C40" s="1" t="s">
        <v>2</v>
      </c>
      <c r="D40" s="56" t="s">
        <v>3</v>
      </c>
      <c r="E40" s="56" t="s">
        <v>4</v>
      </c>
      <c r="F40" s="56" t="s">
        <v>5</v>
      </c>
      <c r="G40" s="56" t="s">
        <v>6</v>
      </c>
      <c r="H40" s="56" t="s">
        <v>7</v>
      </c>
      <c r="I40" s="56" t="s">
        <v>8</v>
      </c>
      <c r="J40" s="56" t="s">
        <v>9</v>
      </c>
      <c r="K40" s="42" t="s">
        <v>222</v>
      </c>
    </row>
    <row r="41" spans="1:13" x14ac:dyDescent="0.2">
      <c r="A41" s="13">
        <v>1</v>
      </c>
      <c r="C41" t="s">
        <v>56</v>
      </c>
      <c r="D41" s="13">
        <v>22</v>
      </c>
      <c r="E41" s="13">
        <v>20</v>
      </c>
      <c r="F41" s="13">
        <v>24</v>
      </c>
      <c r="I41" s="13">
        <v>371.88</v>
      </c>
      <c r="J41" s="13">
        <v>279.54000000000002</v>
      </c>
    </row>
    <row r="42" spans="1:13" x14ac:dyDescent="0.2">
      <c r="A42" s="13">
        <v>2</v>
      </c>
      <c r="C42" t="s">
        <v>56</v>
      </c>
      <c r="D42" s="13">
        <v>19</v>
      </c>
      <c r="E42" s="13">
        <v>18</v>
      </c>
      <c r="F42" s="13">
        <v>21</v>
      </c>
      <c r="I42" s="13">
        <v>506.81</v>
      </c>
      <c r="J42" s="13">
        <v>242.78</v>
      </c>
    </row>
    <row r="43" spans="1:13" x14ac:dyDescent="0.2">
      <c r="A43" s="13">
        <v>3</v>
      </c>
      <c r="C43" t="s">
        <v>56</v>
      </c>
      <c r="D43" s="13">
        <v>26</v>
      </c>
      <c r="E43" s="13">
        <v>24</v>
      </c>
      <c r="F43" s="13">
        <v>29</v>
      </c>
      <c r="G43" s="13">
        <f>AVERAGE(F40:F43)</f>
        <v>24.666666666666668</v>
      </c>
      <c r="I43" s="13">
        <v>394.18</v>
      </c>
      <c r="J43" s="13">
        <v>247.8</v>
      </c>
    </row>
    <row r="44" spans="1:13" x14ac:dyDescent="0.2">
      <c r="A44" s="13" t="s">
        <v>26</v>
      </c>
    </row>
    <row r="45" spans="1:13" x14ac:dyDescent="0.2">
      <c r="A45" s="13">
        <v>5</v>
      </c>
      <c r="B45" s="13" t="s">
        <v>219</v>
      </c>
      <c r="C45" t="s">
        <v>59</v>
      </c>
      <c r="D45" s="13">
        <v>21</v>
      </c>
      <c r="E45" s="13">
        <v>19</v>
      </c>
      <c r="F45" s="13">
        <v>23</v>
      </c>
      <c r="G45" s="13">
        <f>F45-24.67</f>
        <v>-1.6700000000000017</v>
      </c>
      <c r="H45" s="13">
        <v>24.5</v>
      </c>
      <c r="I45" s="13">
        <v>494.32</v>
      </c>
      <c r="J45" s="13">
        <v>295.95</v>
      </c>
      <c r="K45" s="13" t="s">
        <v>81</v>
      </c>
    </row>
    <row r="46" spans="1:13" x14ac:dyDescent="0.2">
      <c r="A46" s="13">
        <v>6</v>
      </c>
      <c r="B46" s="13" t="s">
        <v>219</v>
      </c>
      <c r="C46" t="s">
        <v>58</v>
      </c>
      <c r="D46" s="13">
        <v>22</v>
      </c>
      <c r="E46" s="13">
        <v>22</v>
      </c>
      <c r="F46" s="13">
        <v>24</v>
      </c>
      <c r="G46" s="13">
        <f t="shared" ref="G46:G54" si="10">F46-24.67</f>
        <v>-0.67000000000000171</v>
      </c>
      <c r="H46" s="13">
        <v>20</v>
      </c>
      <c r="I46" s="13">
        <v>550.02</v>
      </c>
      <c r="J46" s="13">
        <v>300.74</v>
      </c>
      <c r="K46" s="13" t="s">
        <v>81</v>
      </c>
    </row>
    <row r="47" spans="1:13" x14ac:dyDescent="0.2">
      <c r="A47" s="13" t="s">
        <v>103</v>
      </c>
    </row>
    <row r="48" spans="1:13" x14ac:dyDescent="0.2">
      <c r="A48" s="13">
        <v>8</v>
      </c>
      <c r="B48" s="13" t="s">
        <v>211</v>
      </c>
      <c r="C48" t="s">
        <v>59</v>
      </c>
      <c r="D48" s="13">
        <v>434</v>
      </c>
      <c r="E48" s="13">
        <v>431</v>
      </c>
      <c r="F48" s="13">
        <v>471</v>
      </c>
      <c r="G48" s="13">
        <f t="shared" si="10"/>
        <v>446.33</v>
      </c>
      <c r="H48" s="13">
        <v>20.9</v>
      </c>
      <c r="I48" s="13">
        <v>83.9</v>
      </c>
      <c r="J48" s="13">
        <v>314.10000000000002</v>
      </c>
      <c r="K48" s="14">
        <f>G48/H48</f>
        <v>21.355502392344498</v>
      </c>
    </row>
    <row r="49" spans="1:11" x14ac:dyDescent="0.2">
      <c r="A49" s="13">
        <v>9</v>
      </c>
      <c r="B49" s="13" t="s">
        <v>212</v>
      </c>
      <c r="C49" t="s">
        <v>59</v>
      </c>
      <c r="D49" s="13">
        <v>489</v>
      </c>
      <c r="E49" s="13">
        <v>481</v>
      </c>
      <c r="F49" s="13">
        <v>532</v>
      </c>
      <c r="G49" s="13">
        <f t="shared" si="10"/>
        <v>507.33</v>
      </c>
      <c r="H49" s="13">
        <v>25.1</v>
      </c>
      <c r="I49" s="13">
        <v>74.37</v>
      </c>
      <c r="J49" s="13">
        <v>296.56</v>
      </c>
      <c r="K49" s="14">
        <f t="shared" ref="K49:K54" si="11">G49/H49</f>
        <v>20.212350597609561</v>
      </c>
    </row>
    <row r="50" spans="1:11" x14ac:dyDescent="0.2">
      <c r="A50" s="13">
        <v>10</v>
      </c>
      <c r="B50" s="13" t="s">
        <v>213</v>
      </c>
      <c r="C50" t="s">
        <v>59</v>
      </c>
      <c r="D50" s="13">
        <v>477</v>
      </c>
      <c r="E50" s="13">
        <v>472</v>
      </c>
      <c r="F50" s="13">
        <v>519</v>
      </c>
      <c r="G50" s="13">
        <f t="shared" si="10"/>
        <v>494.33</v>
      </c>
      <c r="H50" s="13">
        <v>25.8</v>
      </c>
      <c r="I50" s="13">
        <v>78.11</v>
      </c>
      <c r="J50" s="13">
        <v>304.89999999999998</v>
      </c>
      <c r="K50" s="14">
        <f t="shared" si="11"/>
        <v>19.160077519379843</v>
      </c>
    </row>
    <row r="51" spans="1:11" x14ac:dyDescent="0.2">
      <c r="A51" s="13">
        <v>11</v>
      </c>
      <c r="B51" s="13" t="s">
        <v>214</v>
      </c>
      <c r="C51" t="s">
        <v>59</v>
      </c>
      <c r="D51" s="13">
        <v>346</v>
      </c>
      <c r="E51" s="13">
        <v>339</v>
      </c>
      <c r="F51" s="13">
        <v>375</v>
      </c>
      <c r="G51" s="13">
        <f t="shared" si="10"/>
        <v>350.33</v>
      </c>
      <c r="H51" s="13">
        <v>20.7</v>
      </c>
      <c r="I51" s="13">
        <v>110.85</v>
      </c>
      <c r="J51" s="13">
        <v>309.10000000000002</v>
      </c>
      <c r="K51" s="14">
        <f t="shared" si="11"/>
        <v>16.92415458937198</v>
      </c>
    </row>
    <row r="52" spans="1:11" x14ac:dyDescent="0.2">
      <c r="A52" s="13">
        <v>12</v>
      </c>
      <c r="B52" s="13" t="s">
        <v>215</v>
      </c>
      <c r="C52" t="s">
        <v>59</v>
      </c>
      <c r="D52" s="13">
        <v>347</v>
      </c>
      <c r="E52" s="13">
        <v>344</v>
      </c>
      <c r="F52" s="13">
        <v>378</v>
      </c>
      <c r="G52" s="13">
        <f t="shared" si="10"/>
        <v>353.33</v>
      </c>
      <c r="H52" s="13">
        <v>21.4</v>
      </c>
      <c r="I52" s="13">
        <v>103.54</v>
      </c>
      <c r="J52" s="13">
        <v>303.45999999999998</v>
      </c>
      <c r="K52" s="14">
        <f t="shared" si="11"/>
        <v>16.510747663551403</v>
      </c>
    </row>
    <row r="53" spans="1:11" x14ac:dyDescent="0.2">
      <c r="A53" s="13">
        <v>13</v>
      </c>
      <c r="B53" s="13" t="s">
        <v>216</v>
      </c>
      <c r="C53" t="s">
        <v>59</v>
      </c>
      <c r="D53" s="13">
        <v>687</v>
      </c>
      <c r="E53" s="13">
        <v>676</v>
      </c>
      <c r="F53" s="13">
        <v>748</v>
      </c>
      <c r="G53" s="13">
        <f t="shared" si="10"/>
        <v>723.33</v>
      </c>
      <c r="H53" s="13">
        <v>30</v>
      </c>
      <c r="I53" s="13">
        <v>74.989999999999995</v>
      </c>
      <c r="J53" s="13">
        <v>296.82</v>
      </c>
      <c r="K53" s="14">
        <f t="shared" si="11"/>
        <v>24.111000000000001</v>
      </c>
    </row>
    <row r="54" spans="1:11" x14ac:dyDescent="0.2">
      <c r="A54" s="13">
        <v>14</v>
      </c>
      <c r="B54" s="13" t="s">
        <v>217</v>
      </c>
      <c r="C54" t="s">
        <v>59</v>
      </c>
      <c r="D54" s="13">
        <v>28</v>
      </c>
      <c r="E54" s="13">
        <v>28</v>
      </c>
      <c r="F54" s="13">
        <v>30</v>
      </c>
      <c r="G54" s="13">
        <f t="shared" si="10"/>
        <v>5.3299999999999983</v>
      </c>
      <c r="H54" s="13">
        <v>20.6</v>
      </c>
      <c r="I54" s="13">
        <v>677.8</v>
      </c>
      <c r="J54" s="13">
        <v>304.24</v>
      </c>
      <c r="K54" s="14">
        <f t="shared" si="11"/>
        <v>0.2587378640776698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4902D-8A5C-9D48-80D2-6D6552B31590}">
  <dimension ref="A1:X30"/>
  <sheetViews>
    <sheetView workbookViewId="0">
      <selection activeCell="P25" sqref="P25"/>
    </sheetView>
  </sheetViews>
  <sheetFormatPr baseColWidth="10" defaultRowHeight="16" x14ac:dyDescent="0.2"/>
  <cols>
    <col min="1" max="2" width="10.83203125" style="13"/>
    <col min="4" max="16" width="10.83203125" style="13"/>
  </cols>
  <sheetData>
    <row r="1" spans="1:24" s="2" customFormat="1" x14ac:dyDescent="0.2">
      <c r="A1" s="56" t="s">
        <v>0</v>
      </c>
      <c r="B1" s="56" t="s">
        <v>1</v>
      </c>
      <c r="C1" s="1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56" t="s">
        <v>10</v>
      </c>
      <c r="L1" s="56"/>
      <c r="M1" s="42"/>
      <c r="N1" s="56"/>
      <c r="O1" s="13"/>
      <c r="P1" s="13"/>
      <c r="Q1" s="13"/>
      <c r="R1" s="13"/>
      <c r="S1" s="13"/>
      <c r="T1" s="13"/>
      <c r="U1" s="13"/>
      <c r="V1" s="13"/>
      <c r="W1" s="13"/>
      <c r="X1" s="13" t="s">
        <v>201</v>
      </c>
    </row>
    <row r="2" spans="1:24" x14ac:dyDescent="0.2">
      <c r="A2" s="13">
        <v>1</v>
      </c>
      <c r="C2" t="s">
        <v>20</v>
      </c>
      <c r="D2" s="13">
        <v>17</v>
      </c>
      <c r="E2" s="13">
        <v>16</v>
      </c>
      <c r="F2" s="13">
        <v>18</v>
      </c>
      <c r="I2" s="13">
        <v>729.81</v>
      </c>
      <c r="J2" s="13">
        <v>402.84</v>
      </c>
      <c r="N2" s="13" t="s">
        <v>1</v>
      </c>
      <c r="O2" s="13" t="s">
        <v>12</v>
      </c>
      <c r="P2" s="13" t="s">
        <v>13</v>
      </c>
      <c r="Q2" s="13" t="s">
        <v>14</v>
      </c>
      <c r="R2" s="13" t="s">
        <v>16</v>
      </c>
      <c r="S2" s="13"/>
      <c r="T2" s="13" t="s">
        <v>17</v>
      </c>
      <c r="U2" s="13" t="s">
        <v>18</v>
      </c>
      <c r="V2" s="13" t="s">
        <v>19</v>
      </c>
      <c r="W2" s="13"/>
      <c r="X2" s="13" t="s">
        <v>35</v>
      </c>
    </row>
    <row r="3" spans="1:24" x14ac:dyDescent="0.2">
      <c r="A3" s="13">
        <v>2</v>
      </c>
      <c r="C3" t="s">
        <v>22</v>
      </c>
      <c r="D3" s="13">
        <v>25</v>
      </c>
      <c r="E3" s="13">
        <v>21</v>
      </c>
      <c r="F3" s="13">
        <v>27</v>
      </c>
      <c r="I3" s="13">
        <v>663.39</v>
      </c>
      <c r="J3" s="13">
        <v>408.19</v>
      </c>
      <c r="M3" s="13" t="s">
        <v>289</v>
      </c>
      <c r="N3" s="13" t="s">
        <v>194</v>
      </c>
      <c r="O3" s="36">
        <v>22.97951396648045</v>
      </c>
      <c r="P3" s="36">
        <v>1273.3</v>
      </c>
      <c r="Q3" s="36">
        <v>20.093457943925234</v>
      </c>
      <c r="R3" s="60">
        <v>85160</v>
      </c>
      <c r="S3" s="35"/>
      <c r="T3" s="44">
        <f>O3/P3</f>
        <v>1.8047211157213895E-2</v>
      </c>
      <c r="U3" s="44">
        <f>Q3/P3</f>
        <v>1.5780615678885758E-2</v>
      </c>
      <c r="V3" s="44">
        <f>P3/85160</f>
        <v>1.495185533114138E-2</v>
      </c>
      <c r="W3" s="13"/>
      <c r="X3" s="13"/>
    </row>
    <row r="4" spans="1:24" x14ac:dyDescent="0.2">
      <c r="A4" s="13">
        <v>3</v>
      </c>
      <c r="C4" t="s">
        <v>24</v>
      </c>
      <c r="D4" s="13">
        <v>22</v>
      </c>
      <c r="E4" s="13">
        <v>20</v>
      </c>
      <c r="F4" s="13">
        <v>23</v>
      </c>
      <c r="I4" s="13">
        <v>573.52</v>
      </c>
      <c r="J4" s="13">
        <v>426.24</v>
      </c>
      <c r="N4" s="13" t="s">
        <v>195</v>
      </c>
      <c r="O4" s="14">
        <v>34.144141891891891</v>
      </c>
      <c r="P4" s="14">
        <v>534.4</v>
      </c>
      <c r="Q4" s="14">
        <v>58.963414634146346</v>
      </c>
      <c r="R4" s="13"/>
      <c r="S4" s="13"/>
      <c r="T4" s="27">
        <f t="shared" ref="T4:T7" si="0">O4/P4</f>
        <v>6.3892481085127045E-2</v>
      </c>
      <c r="U4" s="27">
        <f t="shared" ref="U4:U7" si="1">Q4/P4</f>
        <v>0.11033573097707026</v>
      </c>
      <c r="V4" s="27">
        <f t="shared" ref="V4:V7" si="2">P4/85160</f>
        <v>6.2752465946453728E-3</v>
      </c>
      <c r="W4" s="13"/>
      <c r="X4" s="27">
        <f>$D$12/P4</f>
        <v>0.42664670658682635</v>
      </c>
    </row>
    <row r="5" spans="1:24" x14ac:dyDescent="0.2">
      <c r="A5" s="13" t="s">
        <v>26</v>
      </c>
      <c r="N5" s="13" t="s">
        <v>196</v>
      </c>
      <c r="O5" s="14">
        <v>41.983120253164557</v>
      </c>
      <c r="P5" s="14">
        <v>523.29999999999995</v>
      </c>
      <c r="Q5" s="14">
        <v>40.679611650485434</v>
      </c>
      <c r="R5" s="13"/>
      <c r="S5" s="13"/>
      <c r="T5" s="27">
        <f t="shared" si="0"/>
        <v>8.022763281705439E-2</v>
      </c>
      <c r="U5" s="27">
        <f t="shared" si="1"/>
        <v>7.7736693389041545E-2</v>
      </c>
      <c r="V5" s="27">
        <f t="shared" si="2"/>
        <v>6.1449037106622818E-3</v>
      </c>
      <c r="W5" s="13"/>
      <c r="X5" s="27">
        <f>$D$12/P5</f>
        <v>0.43569654118096696</v>
      </c>
    </row>
    <row r="6" spans="1:24" x14ac:dyDescent="0.2">
      <c r="A6" s="13">
        <v>5</v>
      </c>
      <c r="B6" s="13" t="s">
        <v>194</v>
      </c>
      <c r="C6" t="s">
        <v>198</v>
      </c>
      <c r="D6" s="13">
        <v>11963</v>
      </c>
      <c r="E6" s="13">
        <v>11681</v>
      </c>
      <c r="F6" s="13">
        <v>12751</v>
      </c>
      <c r="G6" s="13">
        <f>F6-18</f>
        <v>12733</v>
      </c>
      <c r="H6" s="13">
        <v>10</v>
      </c>
      <c r="I6" s="13">
        <v>63.93</v>
      </c>
      <c r="J6" s="13">
        <v>400.47</v>
      </c>
      <c r="K6" s="13">
        <f>G6/H6</f>
        <v>1273.3</v>
      </c>
      <c r="N6" s="13" t="s">
        <v>197</v>
      </c>
      <c r="O6" s="14">
        <v>44.855070652173914</v>
      </c>
      <c r="P6" s="14">
        <v>576.4</v>
      </c>
      <c r="Q6" s="14">
        <v>40.677966101694913</v>
      </c>
      <c r="R6" s="13"/>
      <c r="S6" s="13"/>
      <c r="T6" s="27">
        <f t="shared" si="0"/>
        <v>7.7819345336873555E-2</v>
      </c>
      <c r="U6" s="27">
        <f t="shared" si="1"/>
        <v>7.0572460273585907E-2</v>
      </c>
      <c r="V6" s="27">
        <f t="shared" si="2"/>
        <v>6.7684358853922029E-3</v>
      </c>
      <c r="W6" s="13"/>
      <c r="X6" s="27">
        <f>$D$12/P6</f>
        <v>0.39555863983344902</v>
      </c>
    </row>
    <row r="7" spans="1:24" x14ac:dyDescent="0.2">
      <c r="A7" s="13">
        <v>6</v>
      </c>
      <c r="B7" s="13" t="s">
        <v>195</v>
      </c>
      <c r="C7" t="s">
        <v>198</v>
      </c>
      <c r="D7" s="13">
        <v>5044</v>
      </c>
      <c r="E7" s="13">
        <v>4945</v>
      </c>
      <c r="F7" s="13">
        <v>5362</v>
      </c>
      <c r="G7" s="13">
        <f t="shared" ref="G7:G10" si="3">F7-18</f>
        <v>5344</v>
      </c>
      <c r="H7" s="13">
        <v>10</v>
      </c>
      <c r="I7" s="13">
        <v>73.290000000000006</v>
      </c>
      <c r="J7" s="13">
        <v>418.09</v>
      </c>
      <c r="K7" s="13">
        <f t="shared" ref="K7:K16" si="4">G7/H7</f>
        <v>534.4</v>
      </c>
      <c r="N7" s="13" t="s">
        <v>199</v>
      </c>
      <c r="O7" s="14">
        <v>42.554989847715738</v>
      </c>
      <c r="P7" s="14">
        <v>503.1</v>
      </c>
      <c r="Q7" s="14">
        <v>45</v>
      </c>
      <c r="R7" s="13"/>
      <c r="S7" s="13"/>
      <c r="T7" s="27">
        <f t="shared" si="0"/>
        <v>8.45855492898345E-2</v>
      </c>
      <c r="U7" s="27">
        <f t="shared" si="1"/>
        <v>8.9445438282647574E-2</v>
      </c>
      <c r="V7" s="27">
        <f t="shared" si="2"/>
        <v>5.9077031470173794E-3</v>
      </c>
      <c r="W7" s="13"/>
      <c r="X7" s="27">
        <f>$D$12/P7</f>
        <v>0.45319022063208109</v>
      </c>
    </row>
    <row r="8" spans="1:24" x14ac:dyDescent="0.2">
      <c r="A8" s="13">
        <v>7</v>
      </c>
      <c r="B8" s="13" t="s">
        <v>196</v>
      </c>
      <c r="C8" t="s">
        <v>198</v>
      </c>
      <c r="D8" s="13">
        <v>4935</v>
      </c>
      <c r="E8" s="13">
        <v>4841</v>
      </c>
      <c r="F8" s="13">
        <v>5251</v>
      </c>
      <c r="G8" s="13">
        <f t="shared" si="3"/>
        <v>5233</v>
      </c>
      <c r="H8" s="13">
        <v>10</v>
      </c>
      <c r="I8" s="13">
        <v>73.319999999999993</v>
      </c>
      <c r="J8" s="13">
        <v>411.92</v>
      </c>
      <c r="K8" s="13">
        <f t="shared" si="4"/>
        <v>523.29999999999995</v>
      </c>
      <c r="Q8" s="13"/>
      <c r="R8" s="13"/>
      <c r="S8" s="13"/>
      <c r="T8" s="27"/>
      <c r="U8" s="27"/>
      <c r="V8" s="27"/>
      <c r="W8" s="13"/>
      <c r="X8" s="13"/>
    </row>
    <row r="9" spans="1:24" x14ac:dyDescent="0.2">
      <c r="A9" s="13">
        <v>8</v>
      </c>
      <c r="B9" s="13" t="s">
        <v>197</v>
      </c>
      <c r="C9" t="s">
        <v>198</v>
      </c>
      <c r="D9" s="13">
        <v>5445</v>
      </c>
      <c r="E9" s="13">
        <v>5319</v>
      </c>
      <c r="F9" s="13">
        <v>5782</v>
      </c>
      <c r="G9" s="13">
        <f t="shared" si="3"/>
        <v>5764</v>
      </c>
      <c r="H9" s="13">
        <v>10</v>
      </c>
      <c r="I9" s="13">
        <v>67.760000000000005</v>
      </c>
      <c r="J9" s="13">
        <v>425.25</v>
      </c>
      <c r="K9" s="13">
        <f t="shared" si="4"/>
        <v>576.4</v>
      </c>
      <c r="N9" s="13" t="s">
        <v>33</v>
      </c>
      <c r="O9" s="37">
        <f>AVERAGE(O4:O7)</f>
        <v>40.884330661236525</v>
      </c>
      <c r="P9" s="37">
        <f t="shared" ref="P9:V9" si="5">AVERAGE(P4:P7)</f>
        <v>534.29999999999995</v>
      </c>
      <c r="Q9" s="37">
        <f t="shared" si="5"/>
        <v>46.330248096581677</v>
      </c>
      <c r="R9" s="37"/>
      <c r="S9" s="37"/>
      <c r="T9" s="38">
        <f t="shared" si="5"/>
        <v>7.6631252132222383E-2</v>
      </c>
      <c r="U9" s="38">
        <f t="shared" si="5"/>
        <v>8.7022580730586316E-2</v>
      </c>
      <c r="V9" s="38">
        <f t="shared" si="5"/>
        <v>6.2740723344293092E-3</v>
      </c>
      <c r="W9" s="13"/>
      <c r="X9" s="13"/>
    </row>
    <row r="10" spans="1:24" x14ac:dyDescent="0.2">
      <c r="A10" s="13">
        <v>9</v>
      </c>
      <c r="B10" s="13" t="s">
        <v>199</v>
      </c>
      <c r="C10" t="s">
        <v>198</v>
      </c>
      <c r="D10" s="13">
        <v>4754</v>
      </c>
      <c r="E10" s="13">
        <v>4657</v>
      </c>
      <c r="F10" s="13">
        <v>5049</v>
      </c>
      <c r="G10" s="13">
        <f t="shared" si="3"/>
        <v>5031</v>
      </c>
      <c r="H10" s="13">
        <v>10</v>
      </c>
      <c r="I10" s="13">
        <v>73</v>
      </c>
      <c r="J10" s="13">
        <v>423.75</v>
      </c>
      <c r="K10" s="13">
        <f t="shared" si="4"/>
        <v>503.1</v>
      </c>
      <c r="Q10" s="13"/>
      <c r="R10" s="13"/>
      <c r="S10" s="13"/>
      <c r="T10" s="27"/>
      <c r="U10" s="27"/>
      <c r="V10" s="27"/>
      <c r="W10" s="13"/>
      <c r="X10" s="13"/>
    </row>
    <row r="11" spans="1:24" x14ac:dyDescent="0.2">
      <c r="A11" s="13" t="s">
        <v>177</v>
      </c>
    </row>
    <row r="12" spans="1:24" x14ac:dyDescent="0.2">
      <c r="A12" s="13">
        <v>11</v>
      </c>
      <c r="B12" s="13" t="s">
        <v>194</v>
      </c>
      <c r="C12" t="s">
        <v>14</v>
      </c>
      <c r="D12" s="13">
        <v>228</v>
      </c>
      <c r="E12" s="13">
        <v>222</v>
      </c>
      <c r="F12" s="13">
        <v>242</v>
      </c>
      <c r="G12" s="13">
        <f>F12-F3</f>
        <v>215</v>
      </c>
      <c r="H12" s="13">
        <v>10.7</v>
      </c>
      <c r="I12" s="13">
        <v>148.46</v>
      </c>
      <c r="J12" s="13">
        <v>438.23</v>
      </c>
      <c r="K12" s="14">
        <f t="shared" si="4"/>
        <v>20.093457943925234</v>
      </c>
      <c r="L12" s="14"/>
      <c r="M12" s="13" t="s">
        <v>218</v>
      </c>
      <c r="N12" s="35" t="s">
        <v>193</v>
      </c>
      <c r="O12" s="35"/>
      <c r="P12" s="35">
        <v>9.9</v>
      </c>
    </row>
    <row r="13" spans="1:24" x14ac:dyDescent="0.2">
      <c r="A13" s="13">
        <v>12</v>
      </c>
      <c r="B13" s="13" t="s">
        <v>195</v>
      </c>
      <c r="C13" t="s">
        <v>14</v>
      </c>
      <c r="D13" s="13">
        <v>937</v>
      </c>
      <c r="E13" s="13">
        <v>918</v>
      </c>
      <c r="F13" s="13">
        <v>994</v>
      </c>
      <c r="G13" s="13">
        <f>F13-27</f>
        <v>967</v>
      </c>
      <c r="H13" s="13">
        <v>16.399999999999999</v>
      </c>
      <c r="I13" s="13">
        <v>95.64</v>
      </c>
      <c r="J13" s="13">
        <v>433.1</v>
      </c>
      <c r="K13" s="14">
        <f t="shared" si="4"/>
        <v>58.963414634146346</v>
      </c>
      <c r="L13" s="14"/>
    </row>
    <row r="14" spans="1:24" x14ac:dyDescent="0.2">
      <c r="A14" s="13">
        <v>13</v>
      </c>
      <c r="B14" s="13" t="s">
        <v>196</v>
      </c>
      <c r="C14" t="s">
        <v>14</v>
      </c>
      <c r="D14" s="13">
        <v>815</v>
      </c>
      <c r="E14" s="13">
        <v>797</v>
      </c>
      <c r="F14" s="13">
        <v>865</v>
      </c>
      <c r="G14" s="13">
        <f t="shared" ref="G14:G16" si="6">F14-27</f>
        <v>838</v>
      </c>
      <c r="H14" s="13">
        <v>20.6</v>
      </c>
      <c r="I14" s="13">
        <v>90.37</v>
      </c>
      <c r="J14" s="13">
        <v>429.77</v>
      </c>
      <c r="K14" s="14">
        <f t="shared" si="4"/>
        <v>40.679611650485434</v>
      </c>
      <c r="L14" s="14"/>
    </row>
    <row r="15" spans="1:24" x14ac:dyDescent="0.2">
      <c r="A15" s="13">
        <v>14</v>
      </c>
      <c r="B15" s="13" t="s">
        <v>197</v>
      </c>
      <c r="C15" t="s">
        <v>14</v>
      </c>
      <c r="D15" s="13">
        <v>252</v>
      </c>
      <c r="E15" s="13">
        <v>243</v>
      </c>
      <c r="F15" s="13">
        <v>267</v>
      </c>
      <c r="G15" s="13">
        <f t="shared" si="6"/>
        <v>240</v>
      </c>
      <c r="H15" s="13">
        <v>5.9</v>
      </c>
      <c r="I15" s="13">
        <v>127.45</v>
      </c>
      <c r="J15" s="13">
        <v>447.34</v>
      </c>
      <c r="K15" s="14">
        <f t="shared" si="4"/>
        <v>40.677966101694913</v>
      </c>
      <c r="L15" s="14"/>
    </row>
    <row r="16" spans="1:24" x14ac:dyDescent="0.2">
      <c r="A16" s="13">
        <v>15</v>
      </c>
      <c r="B16" s="13" t="s">
        <v>199</v>
      </c>
      <c r="C16" t="s">
        <v>14</v>
      </c>
      <c r="D16" s="13">
        <v>679</v>
      </c>
      <c r="E16" s="13">
        <v>664</v>
      </c>
      <c r="F16" s="13">
        <v>720</v>
      </c>
      <c r="G16" s="13">
        <f t="shared" si="6"/>
        <v>693</v>
      </c>
      <c r="H16" s="13">
        <v>15.4</v>
      </c>
      <c r="I16" s="13">
        <v>87.53</v>
      </c>
      <c r="J16" s="13">
        <v>435.63</v>
      </c>
      <c r="K16" s="14">
        <f t="shared" si="4"/>
        <v>45</v>
      </c>
      <c r="L16" s="14"/>
    </row>
    <row r="17" spans="1:12" x14ac:dyDescent="0.2">
      <c r="A17" s="13" t="s">
        <v>178</v>
      </c>
      <c r="K17" s="14"/>
      <c r="L17" s="14"/>
    </row>
    <row r="18" spans="1:12" x14ac:dyDescent="0.2">
      <c r="A18" s="13">
        <v>17</v>
      </c>
      <c r="B18" s="13" t="s">
        <v>200</v>
      </c>
      <c r="C18" t="s">
        <v>51</v>
      </c>
      <c r="D18" s="13">
        <v>8072</v>
      </c>
      <c r="E18" s="13">
        <v>7902</v>
      </c>
      <c r="F18" s="13">
        <v>8539</v>
      </c>
      <c r="G18" s="13">
        <f>F18-F4</f>
        <v>8516</v>
      </c>
      <c r="H18" s="13">
        <v>1</v>
      </c>
      <c r="I18" s="13">
        <v>73.39</v>
      </c>
      <c r="J18" s="13">
        <v>449.39</v>
      </c>
      <c r="K18" s="14">
        <f>G18*10</f>
        <v>85160</v>
      </c>
      <c r="L18" s="14"/>
    </row>
    <row r="21" spans="1:12" x14ac:dyDescent="0.2">
      <c r="A21" s="56" t="s">
        <v>0</v>
      </c>
      <c r="B21" s="56" t="s">
        <v>1</v>
      </c>
      <c r="C21" s="1" t="s">
        <v>2</v>
      </c>
      <c r="D21" s="56" t="s">
        <v>3</v>
      </c>
      <c r="E21" s="56" t="s">
        <v>4</v>
      </c>
      <c r="F21" s="56" t="s">
        <v>5</v>
      </c>
      <c r="G21" s="56" t="s">
        <v>6</v>
      </c>
      <c r="H21" s="56" t="s">
        <v>7</v>
      </c>
      <c r="I21" s="56" t="s">
        <v>8</v>
      </c>
      <c r="J21" s="56" t="s">
        <v>9</v>
      </c>
      <c r="K21" s="56" t="s">
        <v>10</v>
      </c>
      <c r="L21" s="56"/>
    </row>
    <row r="22" spans="1:12" x14ac:dyDescent="0.2">
      <c r="A22" s="13">
        <v>1</v>
      </c>
      <c r="C22" t="s">
        <v>56</v>
      </c>
      <c r="D22" s="13">
        <v>22</v>
      </c>
      <c r="E22" s="13">
        <v>21</v>
      </c>
      <c r="F22" s="13">
        <v>24</v>
      </c>
      <c r="I22" s="13">
        <v>423.88</v>
      </c>
      <c r="J22" s="13">
        <v>285.91000000000003</v>
      </c>
    </row>
    <row r="23" spans="1:12" x14ac:dyDescent="0.2">
      <c r="A23" s="13">
        <v>2</v>
      </c>
      <c r="C23" t="s">
        <v>56</v>
      </c>
      <c r="D23" s="13">
        <v>24</v>
      </c>
      <c r="E23" s="13">
        <v>23</v>
      </c>
      <c r="F23" s="13">
        <v>26</v>
      </c>
      <c r="I23" s="13">
        <v>410.14</v>
      </c>
      <c r="J23" s="13">
        <v>281.5</v>
      </c>
    </row>
    <row r="24" spans="1:12" x14ac:dyDescent="0.2">
      <c r="A24" s="13">
        <v>3</v>
      </c>
      <c r="C24" t="s">
        <v>56</v>
      </c>
      <c r="D24" s="13">
        <v>19</v>
      </c>
      <c r="E24" s="13">
        <v>18</v>
      </c>
      <c r="F24" s="13">
        <v>21</v>
      </c>
      <c r="G24" s="13">
        <f>AVERAGE(F22:F24)</f>
        <v>23.666666666666668</v>
      </c>
      <c r="I24" s="13">
        <v>644.98</v>
      </c>
      <c r="J24" s="13">
        <v>243.05</v>
      </c>
    </row>
    <row r="25" spans="1:12" x14ac:dyDescent="0.2">
      <c r="A25" s="13" t="s">
        <v>26</v>
      </c>
    </row>
    <row r="26" spans="1:12" x14ac:dyDescent="0.2">
      <c r="A26" s="13">
        <v>5</v>
      </c>
      <c r="B26" s="13" t="s">
        <v>194</v>
      </c>
      <c r="C26" t="s">
        <v>59</v>
      </c>
      <c r="D26" s="13">
        <v>401</v>
      </c>
      <c r="E26" s="13">
        <v>392</v>
      </c>
      <c r="F26" s="13">
        <v>435</v>
      </c>
      <c r="G26" s="14">
        <f>F26-23.6667</f>
        <v>411.33330000000001</v>
      </c>
      <c r="H26" s="13">
        <v>17.899999999999999</v>
      </c>
      <c r="I26" s="13">
        <v>95.9</v>
      </c>
      <c r="J26" s="13">
        <v>305.29000000000002</v>
      </c>
      <c r="K26" s="14">
        <f>G26/H26</f>
        <v>22.97951396648045</v>
      </c>
      <c r="L26" s="14"/>
    </row>
    <row r="27" spans="1:12" x14ac:dyDescent="0.2">
      <c r="A27" s="13">
        <v>6</v>
      </c>
      <c r="B27" s="13" t="s">
        <v>195</v>
      </c>
      <c r="C27" t="s">
        <v>59</v>
      </c>
      <c r="D27" s="13">
        <v>491</v>
      </c>
      <c r="E27" s="13">
        <v>483</v>
      </c>
      <c r="F27" s="13">
        <v>529</v>
      </c>
      <c r="G27" s="14">
        <f>F27-23.6667</f>
        <v>505.33330000000001</v>
      </c>
      <c r="H27" s="13">
        <v>14.8</v>
      </c>
      <c r="I27" s="13">
        <v>98.31</v>
      </c>
      <c r="J27" s="13">
        <v>327.73</v>
      </c>
      <c r="K27" s="14">
        <f>G27/H27</f>
        <v>34.144141891891891</v>
      </c>
      <c r="L27" s="14"/>
    </row>
    <row r="28" spans="1:12" x14ac:dyDescent="0.2">
      <c r="A28" s="13">
        <v>7</v>
      </c>
      <c r="B28" s="13" t="s">
        <v>196</v>
      </c>
      <c r="C28" t="s">
        <v>59</v>
      </c>
      <c r="D28" s="13">
        <v>634</v>
      </c>
      <c r="E28" s="13">
        <v>623</v>
      </c>
      <c r="F28" s="13">
        <v>687</v>
      </c>
      <c r="G28" s="14">
        <f>F28-23.6667</f>
        <v>663.33330000000001</v>
      </c>
      <c r="H28" s="13">
        <v>15.8</v>
      </c>
      <c r="I28" s="13">
        <v>78.92</v>
      </c>
      <c r="J28" s="13">
        <v>313.62</v>
      </c>
      <c r="K28" s="14">
        <f>G28/H28</f>
        <v>41.983120253164557</v>
      </c>
      <c r="L28" s="14"/>
    </row>
    <row r="29" spans="1:12" x14ac:dyDescent="0.2">
      <c r="A29" s="13">
        <v>8</v>
      </c>
      <c r="B29" s="13" t="s">
        <v>197</v>
      </c>
      <c r="C29" t="s">
        <v>59</v>
      </c>
      <c r="D29" s="13">
        <v>785</v>
      </c>
      <c r="E29" s="13">
        <v>772</v>
      </c>
      <c r="F29" s="13">
        <v>849</v>
      </c>
      <c r="G29" s="14">
        <f>F29-23.6667</f>
        <v>825.33330000000001</v>
      </c>
      <c r="H29" s="13">
        <v>18.399999999999999</v>
      </c>
      <c r="I29" s="13">
        <v>86.04</v>
      </c>
      <c r="J29" s="13">
        <v>320.42</v>
      </c>
      <c r="K29" s="14">
        <f>G29/H29</f>
        <v>44.855070652173914</v>
      </c>
      <c r="L29" s="14"/>
    </row>
    <row r="30" spans="1:12" x14ac:dyDescent="0.2">
      <c r="A30" s="13">
        <v>9</v>
      </c>
      <c r="B30" s="13" t="s">
        <v>199</v>
      </c>
      <c r="C30" t="s">
        <v>59</v>
      </c>
      <c r="D30" s="13">
        <v>796</v>
      </c>
      <c r="E30" s="13">
        <v>787</v>
      </c>
      <c r="F30" s="13">
        <v>862</v>
      </c>
      <c r="G30" s="14">
        <f>F30-23.6667</f>
        <v>838.33330000000001</v>
      </c>
      <c r="H30" s="13">
        <v>19.7</v>
      </c>
      <c r="I30" s="13">
        <v>70.42</v>
      </c>
      <c r="J30" s="13">
        <v>313.39</v>
      </c>
      <c r="K30" s="14">
        <f>G30/H30</f>
        <v>42.554989847715738</v>
      </c>
      <c r="L30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5CE0A-F00C-2344-AA91-B66E7D304190}">
  <dimension ref="A1:U37"/>
  <sheetViews>
    <sheetView zoomScale="125" workbookViewId="0">
      <pane ySplit="1" topLeftCell="A2" activePane="bottomLeft" state="frozen"/>
      <selection pane="bottomLeft" activeCell="M27" sqref="M27"/>
    </sheetView>
  </sheetViews>
  <sheetFormatPr baseColWidth="10" defaultRowHeight="16" x14ac:dyDescent="0.2"/>
  <cols>
    <col min="1" max="2" width="10.83203125" style="13"/>
    <col min="4" max="11" width="10.83203125" style="13"/>
    <col min="19" max="19" width="12.33203125" bestFit="1" customWidth="1"/>
    <col min="21" max="21" width="15.1640625" bestFit="1" customWidth="1"/>
  </cols>
  <sheetData>
    <row r="1" spans="1:21" s="2" customFormat="1" x14ac:dyDescent="0.2">
      <c r="A1" s="42" t="s">
        <v>0</v>
      </c>
      <c r="B1" s="42" t="s">
        <v>1</v>
      </c>
      <c r="C1" s="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M1" s="2" t="s">
        <v>1</v>
      </c>
      <c r="N1" s="2" t="s">
        <v>12</v>
      </c>
      <c r="O1" s="2" t="s">
        <v>14</v>
      </c>
      <c r="P1" s="2" t="s">
        <v>13</v>
      </c>
      <c r="Q1" s="2" t="s">
        <v>16</v>
      </c>
      <c r="S1" s="2" t="s">
        <v>17</v>
      </c>
      <c r="T1" s="2" t="s">
        <v>18</v>
      </c>
      <c r="U1" s="2" t="s">
        <v>19</v>
      </c>
    </row>
    <row r="2" spans="1:21" x14ac:dyDescent="0.2">
      <c r="A2" s="13">
        <v>1</v>
      </c>
      <c r="C2" t="s">
        <v>20</v>
      </c>
      <c r="D2" s="13">
        <v>26</v>
      </c>
      <c r="E2" s="13">
        <v>22</v>
      </c>
      <c r="F2" s="13">
        <v>27</v>
      </c>
      <c r="H2" s="13">
        <v>10</v>
      </c>
      <c r="I2" s="13">
        <v>601.97</v>
      </c>
      <c r="J2" s="13">
        <v>399.77</v>
      </c>
      <c r="M2" t="s">
        <v>202</v>
      </c>
      <c r="N2" s="3">
        <v>16.133004926108374</v>
      </c>
      <c r="O2" s="3">
        <v>15.208333333333334</v>
      </c>
      <c r="P2" s="3">
        <v>197</v>
      </c>
      <c r="Q2" s="3">
        <v>45680</v>
      </c>
      <c r="S2" s="4">
        <f>N2/P2</f>
        <v>8.1893426020854684E-2</v>
      </c>
      <c r="T2" s="4">
        <f>O2/P2</f>
        <v>7.7199661590524535E-2</v>
      </c>
      <c r="U2" s="4">
        <f>P2/45680</f>
        <v>4.3126094570928196E-3</v>
      </c>
    </row>
    <row r="3" spans="1:21" x14ac:dyDescent="0.2">
      <c r="A3" s="13">
        <v>2</v>
      </c>
      <c r="C3" t="s">
        <v>22</v>
      </c>
      <c r="D3" s="13">
        <v>25</v>
      </c>
      <c r="E3" s="13">
        <v>23</v>
      </c>
      <c r="F3" s="13">
        <v>26</v>
      </c>
      <c r="H3" s="13">
        <v>50</v>
      </c>
      <c r="I3" s="13">
        <v>699.15</v>
      </c>
      <c r="J3" s="13">
        <v>404.68</v>
      </c>
      <c r="M3" t="s">
        <v>203</v>
      </c>
      <c r="N3" s="3">
        <v>19.569672131147541</v>
      </c>
      <c r="O3" s="3">
        <v>21.851851851851851</v>
      </c>
      <c r="P3" s="3">
        <v>345.3</v>
      </c>
      <c r="S3" s="4">
        <f t="shared" ref="S3:S5" si="0">N3/P3</f>
        <v>5.6674405245142022E-2</v>
      </c>
      <c r="T3" s="4">
        <f t="shared" ref="T3:T5" si="1">O3/P3</f>
        <v>6.328367174008645E-2</v>
      </c>
      <c r="U3" s="4">
        <f t="shared" ref="U3:U5" si="2">P3/45680</f>
        <v>7.5591068301225925E-3</v>
      </c>
    </row>
    <row r="4" spans="1:21" x14ac:dyDescent="0.2">
      <c r="A4" s="13">
        <v>3</v>
      </c>
      <c r="C4" t="s">
        <v>24</v>
      </c>
      <c r="D4" s="13">
        <v>25</v>
      </c>
      <c r="E4" s="13">
        <v>21</v>
      </c>
      <c r="F4" s="13">
        <v>27</v>
      </c>
      <c r="I4" s="13">
        <v>635.73</v>
      </c>
      <c r="J4" s="13">
        <v>424.63</v>
      </c>
      <c r="M4" s="6" t="s">
        <v>204</v>
      </c>
      <c r="N4" s="32">
        <v>3.2112068965517242</v>
      </c>
      <c r="O4" s="32">
        <v>8.5840707964601766</v>
      </c>
      <c r="P4" s="32">
        <v>285.2</v>
      </c>
      <c r="Q4" s="6"/>
      <c r="R4" s="6"/>
      <c r="S4" s="33">
        <f t="shared" si="0"/>
        <v>1.1259491222130871E-2</v>
      </c>
      <c r="T4" s="33">
        <f t="shared" si="1"/>
        <v>3.0098424952525165E-2</v>
      </c>
      <c r="U4" s="33">
        <f t="shared" si="2"/>
        <v>6.2434325744308225E-3</v>
      </c>
    </row>
    <row r="5" spans="1:21" x14ac:dyDescent="0.2">
      <c r="A5" s="13">
        <v>4</v>
      </c>
      <c r="C5" t="s">
        <v>20</v>
      </c>
      <c r="D5" s="13">
        <v>23</v>
      </c>
      <c r="E5" s="13">
        <v>21</v>
      </c>
      <c r="F5" s="13">
        <v>25</v>
      </c>
      <c r="H5" s="13">
        <v>20</v>
      </c>
      <c r="I5" s="13">
        <v>525.37</v>
      </c>
      <c r="J5" s="13">
        <v>393.33</v>
      </c>
      <c r="M5" s="6" t="s">
        <v>205</v>
      </c>
      <c r="N5" s="32">
        <v>0.50335570469798652</v>
      </c>
      <c r="O5" s="32">
        <v>5</v>
      </c>
      <c r="P5" s="32">
        <v>473.8</v>
      </c>
      <c r="Q5" s="6"/>
      <c r="R5" s="6"/>
      <c r="S5" s="33">
        <f t="shared" si="0"/>
        <v>1.0623801281088782E-3</v>
      </c>
      <c r="T5" s="33">
        <f t="shared" si="1"/>
        <v>1.0552975939214858E-2</v>
      </c>
      <c r="U5" s="33">
        <f t="shared" si="2"/>
        <v>1.0372154115586691E-2</v>
      </c>
    </row>
    <row r="6" spans="1:21" x14ac:dyDescent="0.2">
      <c r="A6" s="13" t="s">
        <v>110</v>
      </c>
    </row>
    <row r="7" spans="1:21" x14ac:dyDescent="0.2">
      <c r="A7" s="13">
        <v>6</v>
      </c>
      <c r="B7" s="13" t="s">
        <v>202</v>
      </c>
      <c r="C7" t="s">
        <v>13</v>
      </c>
      <c r="D7" s="13">
        <v>1883</v>
      </c>
      <c r="E7" s="13">
        <v>1840</v>
      </c>
      <c r="F7" s="13">
        <v>1997</v>
      </c>
      <c r="G7" s="13">
        <f>F7-27</f>
        <v>1970</v>
      </c>
      <c r="H7" s="13">
        <v>10</v>
      </c>
      <c r="I7" s="13">
        <v>71.31</v>
      </c>
      <c r="J7" s="13">
        <v>432.73</v>
      </c>
      <c r="K7" s="14">
        <f>G7/H7</f>
        <v>197</v>
      </c>
    </row>
    <row r="8" spans="1:21" x14ac:dyDescent="0.2">
      <c r="A8" s="13">
        <v>7</v>
      </c>
      <c r="B8" s="13" t="s">
        <v>203</v>
      </c>
      <c r="C8" t="s">
        <v>13</v>
      </c>
      <c r="D8" s="13">
        <v>3280</v>
      </c>
      <c r="E8" s="13">
        <v>3203</v>
      </c>
      <c r="F8" s="13">
        <v>3480</v>
      </c>
      <c r="G8" s="13">
        <f t="shared" ref="G8:G10" si="3">F8-27</f>
        <v>3453</v>
      </c>
      <c r="H8" s="13">
        <v>10</v>
      </c>
      <c r="I8" s="13">
        <v>71.709999999999994</v>
      </c>
      <c r="J8" s="13">
        <v>430.1</v>
      </c>
      <c r="K8" s="13">
        <f t="shared" ref="K8:K25" si="4">G8/H8</f>
        <v>345.3</v>
      </c>
    </row>
    <row r="9" spans="1:21" x14ac:dyDescent="0.2">
      <c r="A9" s="13">
        <v>8</v>
      </c>
      <c r="B9" s="13" t="s">
        <v>204</v>
      </c>
      <c r="C9" t="s">
        <v>13</v>
      </c>
      <c r="D9" s="13">
        <v>2715</v>
      </c>
      <c r="E9" s="13">
        <v>2607</v>
      </c>
      <c r="F9" s="13">
        <v>2879</v>
      </c>
      <c r="G9" s="13">
        <f t="shared" si="3"/>
        <v>2852</v>
      </c>
      <c r="H9" s="13">
        <v>10</v>
      </c>
      <c r="I9" s="13">
        <v>53.39</v>
      </c>
      <c r="J9" s="13">
        <v>434.71</v>
      </c>
      <c r="K9" s="13">
        <f t="shared" si="4"/>
        <v>285.2</v>
      </c>
    </row>
    <row r="10" spans="1:21" x14ac:dyDescent="0.2">
      <c r="A10" s="13">
        <v>9</v>
      </c>
      <c r="B10" s="13" t="s">
        <v>205</v>
      </c>
      <c r="C10" t="s">
        <v>13</v>
      </c>
      <c r="D10" s="13">
        <v>4492</v>
      </c>
      <c r="E10" s="13">
        <v>4313</v>
      </c>
      <c r="F10" s="13">
        <v>4765</v>
      </c>
      <c r="G10" s="13">
        <f t="shared" si="3"/>
        <v>4738</v>
      </c>
      <c r="H10" s="13">
        <v>10</v>
      </c>
      <c r="I10" s="13">
        <v>52.03</v>
      </c>
      <c r="J10" s="13">
        <v>431.21</v>
      </c>
      <c r="K10" s="13">
        <f t="shared" si="4"/>
        <v>473.8</v>
      </c>
    </row>
    <row r="11" spans="1:21" x14ac:dyDescent="0.2">
      <c r="A11" s="13" t="s">
        <v>177</v>
      </c>
    </row>
    <row r="12" spans="1:21" x14ac:dyDescent="0.2">
      <c r="A12" s="13">
        <v>11</v>
      </c>
      <c r="B12" s="13" t="s">
        <v>202</v>
      </c>
      <c r="C12" t="s">
        <v>14</v>
      </c>
      <c r="D12" s="13">
        <v>162</v>
      </c>
      <c r="E12" s="13">
        <v>157</v>
      </c>
      <c r="F12" s="13">
        <v>172</v>
      </c>
      <c r="G12" s="13">
        <f>F12-26</f>
        <v>146</v>
      </c>
      <c r="H12" s="13">
        <v>9.6</v>
      </c>
      <c r="I12" s="13">
        <v>158.35</v>
      </c>
      <c r="J12" s="13">
        <v>445.2</v>
      </c>
      <c r="K12" s="14">
        <f t="shared" si="4"/>
        <v>15.208333333333334</v>
      </c>
    </row>
    <row r="13" spans="1:21" x14ac:dyDescent="0.2">
      <c r="A13" s="13">
        <v>12</v>
      </c>
      <c r="B13" s="13" t="s">
        <v>203</v>
      </c>
      <c r="C13" t="s">
        <v>14</v>
      </c>
      <c r="D13" s="13">
        <v>359</v>
      </c>
      <c r="E13" s="13">
        <v>350</v>
      </c>
      <c r="F13" s="13">
        <v>380</v>
      </c>
      <c r="G13" s="13">
        <f t="shared" ref="G13:G15" si="5">F13-26</f>
        <v>354</v>
      </c>
      <c r="H13" s="13">
        <v>16.2</v>
      </c>
      <c r="I13" s="13">
        <v>102.9</v>
      </c>
      <c r="J13" s="13">
        <v>440.23</v>
      </c>
      <c r="K13" s="14">
        <f t="shared" si="4"/>
        <v>21.851851851851851</v>
      </c>
    </row>
    <row r="14" spans="1:21" x14ac:dyDescent="0.2">
      <c r="A14" s="13">
        <v>13</v>
      </c>
      <c r="B14" s="13" t="s">
        <v>204</v>
      </c>
      <c r="C14" t="s">
        <v>14</v>
      </c>
      <c r="D14" s="13">
        <v>116</v>
      </c>
      <c r="E14" s="13">
        <v>114</v>
      </c>
      <c r="F14" s="13">
        <v>123</v>
      </c>
      <c r="G14" s="13">
        <f t="shared" si="5"/>
        <v>97</v>
      </c>
      <c r="H14" s="13">
        <v>11.3</v>
      </c>
      <c r="I14" s="13">
        <v>198.71</v>
      </c>
      <c r="J14" s="13">
        <v>440.3</v>
      </c>
      <c r="K14" s="14">
        <f t="shared" si="4"/>
        <v>8.5840707964601766</v>
      </c>
    </row>
    <row r="15" spans="1:21" x14ac:dyDescent="0.2">
      <c r="A15" s="13">
        <v>14</v>
      </c>
      <c r="B15" s="13" t="s">
        <v>205</v>
      </c>
      <c r="C15" t="s">
        <v>14</v>
      </c>
      <c r="D15" s="13">
        <v>31</v>
      </c>
      <c r="E15" s="13">
        <v>27</v>
      </c>
      <c r="F15" s="13">
        <v>33</v>
      </c>
      <c r="G15" s="13">
        <f t="shared" si="5"/>
        <v>7</v>
      </c>
      <c r="H15" s="13">
        <v>1.4</v>
      </c>
      <c r="I15" s="13">
        <v>540.53</v>
      </c>
      <c r="J15" s="13">
        <v>441.58</v>
      </c>
      <c r="K15" s="13">
        <f t="shared" si="4"/>
        <v>5</v>
      </c>
    </row>
    <row r="16" spans="1:21" x14ac:dyDescent="0.2">
      <c r="A16" s="13" t="s">
        <v>206</v>
      </c>
    </row>
    <row r="17" spans="1:11" x14ac:dyDescent="0.2">
      <c r="A17" s="13">
        <v>16</v>
      </c>
      <c r="B17" s="13" t="s">
        <v>207</v>
      </c>
      <c r="C17" t="s">
        <v>13</v>
      </c>
      <c r="D17" s="13">
        <v>19</v>
      </c>
      <c r="E17" s="13">
        <v>16</v>
      </c>
      <c r="F17" s="13">
        <v>20</v>
      </c>
      <c r="G17" s="13">
        <f>F17-25</f>
        <v>-5</v>
      </c>
      <c r="H17" s="13">
        <v>20</v>
      </c>
      <c r="I17" s="13">
        <v>640.12</v>
      </c>
      <c r="J17" s="13">
        <v>430.68</v>
      </c>
      <c r="K17" s="13">
        <f t="shared" si="4"/>
        <v>-0.25</v>
      </c>
    </row>
    <row r="18" spans="1:11" x14ac:dyDescent="0.2">
      <c r="A18" s="13">
        <v>17</v>
      </c>
      <c r="B18" s="13" t="s">
        <v>207</v>
      </c>
      <c r="C18" t="s">
        <v>13</v>
      </c>
      <c r="D18" s="13">
        <v>29</v>
      </c>
      <c r="E18" s="13">
        <v>28</v>
      </c>
      <c r="F18" s="13">
        <v>31</v>
      </c>
      <c r="G18" s="13">
        <f t="shared" ref="G18:G25" si="6">F18-25</f>
        <v>6</v>
      </c>
      <c r="H18" s="13">
        <v>20</v>
      </c>
      <c r="I18" s="13">
        <v>592.11</v>
      </c>
      <c r="J18" s="13">
        <v>417.33</v>
      </c>
      <c r="K18" s="13">
        <f t="shared" si="4"/>
        <v>0.3</v>
      </c>
    </row>
    <row r="19" spans="1:11" x14ac:dyDescent="0.2">
      <c r="A19" s="13" t="s">
        <v>179</v>
      </c>
    </row>
    <row r="20" spans="1:11" x14ac:dyDescent="0.2">
      <c r="A20" s="13">
        <v>19</v>
      </c>
      <c r="B20" s="13" t="s">
        <v>207</v>
      </c>
      <c r="C20" t="s">
        <v>13</v>
      </c>
      <c r="D20" s="13">
        <v>26</v>
      </c>
      <c r="E20" s="13">
        <v>24</v>
      </c>
      <c r="F20" s="13">
        <v>28</v>
      </c>
      <c r="G20" s="13">
        <f t="shared" si="6"/>
        <v>3</v>
      </c>
      <c r="H20" s="13">
        <v>20</v>
      </c>
      <c r="I20" s="13">
        <v>567.99</v>
      </c>
      <c r="J20" s="13">
        <v>415.68</v>
      </c>
      <c r="K20" s="13">
        <f t="shared" si="4"/>
        <v>0.15</v>
      </c>
    </row>
    <row r="21" spans="1:11" x14ac:dyDescent="0.2">
      <c r="A21" s="13">
        <v>20</v>
      </c>
      <c r="B21" s="13" t="s">
        <v>207</v>
      </c>
      <c r="C21" t="s">
        <v>13</v>
      </c>
      <c r="D21" s="13">
        <v>26</v>
      </c>
      <c r="E21" s="13">
        <v>25</v>
      </c>
      <c r="F21" s="13">
        <v>28</v>
      </c>
      <c r="G21" s="13">
        <f t="shared" si="6"/>
        <v>3</v>
      </c>
      <c r="H21" s="13">
        <v>20</v>
      </c>
      <c r="I21" s="13">
        <v>537.54999999999995</v>
      </c>
      <c r="J21" s="13">
        <v>415.48</v>
      </c>
      <c r="K21" s="13">
        <f t="shared" si="4"/>
        <v>0.15</v>
      </c>
    </row>
    <row r="22" spans="1:11" x14ac:dyDescent="0.2">
      <c r="A22" s="13">
        <v>21</v>
      </c>
      <c r="B22" s="13" t="s">
        <v>207</v>
      </c>
      <c r="C22" t="s">
        <v>13</v>
      </c>
      <c r="D22" s="13">
        <v>29</v>
      </c>
      <c r="E22" s="13">
        <v>26</v>
      </c>
      <c r="F22" s="13">
        <v>30</v>
      </c>
      <c r="G22" s="13">
        <f t="shared" si="6"/>
        <v>5</v>
      </c>
      <c r="H22" s="13">
        <v>20</v>
      </c>
      <c r="I22" s="13">
        <v>585.14</v>
      </c>
      <c r="J22" s="13">
        <v>412.7</v>
      </c>
      <c r="K22" s="13">
        <f t="shared" si="4"/>
        <v>0.25</v>
      </c>
    </row>
    <row r="23" spans="1:11" x14ac:dyDescent="0.2">
      <c r="A23" s="13">
        <v>22</v>
      </c>
      <c r="B23" s="13" t="s">
        <v>207</v>
      </c>
      <c r="C23" t="s">
        <v>13</v>
      </c>
      <c r="D23" s="13">
        <v>28</v>
      </c>
      <c r="E23" s="13">
        <v>26</v>
      </c>
      <c r="F23" s="13">
        <v>29</v>
      </c>
      <c r="G23" s="13">
        <f t="shared" si="6"/>
        <v>4</v>
      </c>
      <c r="H23" s="13">
        <v>20</v>
      </c>
      <c r="I23" s="13">
        <v>583.44000000000005</v>
      </c>
      <c r="J23" s="13">
        <v>414.41</v>
      </c>
      <c r="K23" s="13">
        <f t="shared" si="4"/>
        <v>0.2</v>
      </c>
    </row>
    <row r="24" spans="1:11" x14ac:dyDescent="0.2">
      <c r="A24" s="13">
        <v>23</v>
      </c>
      <c r="B24" s="13" t="s">
        <v>207</v>
      </c>
      <c r="C24" t="s">
        <v>13</v>
      </c>
      <c r="D24" s="13">
        <v>28</v>
      </c>
      <c r="E24" s="13">
        <v>27</v>
      </c>
      <c r="F24" s="13">
        <v>30</v>
      </c>
      <c r="G24" s="13">
        <f t="shared" si="6"/>
        <v>5</v>
      </c>
      <c r="H24" s="13">
        <v>20</v>
      </c>
      <c r="I24" s="13">
        <v>450.85</v>
      </c>
      <c r="J24" s="13">
        <v>408.11</v>
      </c>
      <c r="K24" s="13">
        <f t="shared" si="4"/>
        <v>0.25</v>
      </c>
    </row>
    <row r="25" spans="1:11" x14ac:dyDescent="0.2">
      <c r="A25" s="13">
        <v>24</v>
      </c>
      <c r="B25" s="13" t="s">
        <v>207</v>
      </c>
      <c r="C25" t="s">
        <v>13</v>
      </c>
      <c r="D25" s="13">
        <v>30</v>
      </c>
      <c r="E25" s="13">
        <v>29</v>
      </c>
      <c r="F25" s="13">
        <v>32</v>
      </c>
      <c r="G25" s="13">
        <f t="shared" si="6"/>
        <v>7</v>
      </c>
      <c r="H25" s="13">
        <v>20</v>
      </c>
      <c r="I25" s="13">
        <v>486.41</v>
      </c>
      <c r="J25" s="13">
        <v>421.08</v>
      </c>
      <c r="K25" s="13">
        <f t="shared" si="4"/>
        <v>0.35</v>
      </c>
    </row>
    <row r="26" spans="1:11" x14ac:dyDescent="0.2">
      <c r="A26" s="13" t="s">
        <v>208</v>
      </c>
    </row>
    <row r="27" spans="1:11" x14ac:dyDescent="0.2">
      <c r="A27" s="13">
        <v>26</v>
      </c>
      <c r="B27" s="13" t="s">
        <v>209</v>
      </c>
      <c r="C27" t="s">
        <v>51</v>
      </c>
      <c r="D27" s="13">
        <v>4340</v>
      </c>
      <c r="E27" s="13">
        <v>4255</v>
      </c>
      <c r="F27" s="13">
        <v>4595</v>
      </c>
      <c r="G27" s="13">
        <f>F27-27</f>
        <v>4568</v>
      </c>
      <c r="H27" s="13">
        <v>1</v>
      </c>
      <c r="I27" s="13">
        <v>77.88</v>
      </c>
      <c r="J27" s="13">
        <v>444.03</v>
      </c>
      <c r="K27" s="13">
        <f>G27*10</f>
        <v>45680</v>
      </c>
    </row>
    <row r="30" spans="1:11" x14ac:dyDescent="0.2">
      <c r="A30" s="42" t="s">
        <v>0</v>
      </c>
      <c r="B30" s="42" t="s">
        <v>1</v>
      </c>
      <c r="C30" s="2" t="s">
        <v>2</v>
      </c>
      <c r="D30" s="42" t="s">
        <v>3</v>
      </c>
      <c r="E30" s="42" t="s">
        <v>4</v>
      </c>
      <c r="F30" s="42" t="s">
        <v>5</v>
      </c>
      <c r="G30" s="42" t="s">
        <v>6</v>
      </c>
      <c r="H30" s="42" t="s">
        <v>7</v>
      </c>
      <c r="I30" s="56" t="s">
        <v>8</v>
      </c>
      <c r="J30" s="56" t="s">
        <v>9</v>
      </c>
      <c r="K30" s="42" t="s">
        <v>10</v>
      </c>
    </row>
    <row r="31" spans="1:11" x14ac:dyDescent="0.2">
      <c r="A31" s="13">
        <v>1</v>
      </c>
      <c r="C31" t="s">
        <v>56</v>
      </c>
      <c r="D31" s="13">
        <v>29</v>
      </c>
      <c r="E31" s="13">
        <v>26</v>
      </c>
      <c r="F31" s="13">
        <v>31</v>
      </c>
      <c r="H31" s="13">
        <v>17.2</v>
      </c>
      <c r="I31" s="13">
        <v>403.1</v>
      </c>
      <c r="J31" s="13">
        <v>279.66000000000003</v>
      </c>
    </row>
    <row r="32" spans="1:11" x14ac:dyDescent="0.2">
      <c r="A32" s="13">
        <v>2</v>
      </c>
      <c r="C32" t="s">
        <v>56</v>
      </c>
      <c r="D32" s="13">
        <v>24</v>
      </c>
      <c r="E32" s="13">
        <v>23</v>
      </c>
      <c r="F32" s="13">
        <v>26</v>
      </c>
      <c r="G32" s="13">
        <f>AVERAGE(F31:F32)</f>
        <v>28.5</v>
      </c>
      <c r="H32" s="13">
        <v>23</v>
      </c>
      <c r="I32" s="13">
        <v>528.49</v>
      </c>
      <c r="J32" s="13">
        <v>242.63</v>
      </c>
    </row>
    <row r="33" spans="1:11" x14ac:dyDescent="0.2">
      <c r="A33" s="13" t="s">
        <v>111</v>
      </c>
    </row>
    <row r="34" spans="1:11" x14ac:dyDescent="0.2">
      <c r="A34" s="13">
        <v>4</v>
      </c>
      <c r="B34" s="13" t="s">
        <v>202</v>
      </c>
      <c r="C34" t="s">
        <v>59</v>
      </c>
      <c r="D34" s="13">
        <v>329</v>
      </c>
      <c r="E34" s="13">
        <v>323</v>
      </c>
      <c r="F34" s="13">
        <v>356</v>
      </c>
      <c r="G34" s="13">
        <f>F34-28.5</f>
        <v>327.5</v>
      </c>
      <c r="H34" s="48">
        <v>20.3</v>
      </c>
      <c r="I34" s="13">
        <v>109.88</v>
      </c>
      <c r="J34" s="13">
        <v>316.95999999999998</v>
      </c>
      <c r="K34" s="14">
        <f>G34/H34</f>
        <v>16.133004926108374</v>
      </c>
    </row>
    <row r="35" spans="1:11" x14ac:dyDescent="0.2">
      <c r="A35" s="13">
        <v>5</v>
      </c>
      <c r="B35" s="13" t="s">
        <v>203</v>
      </c>
      <c r="C35" t="s">
        <v>59</v>
      </c>
      <c r="D35" s="13">
        <v>466</v>
      </c>
      <c r="E35" s="13">
        <v>459</v>
      </c>
      <c r="F35" s="13">
        <v>506</v>
      </c>
      <c r="G35" s="13">
        <f>F35-28.5</f>
        <v>477.5</v>
      </c>
      <c r="H35" s="48">
        <v>24.4</v>
      </c>
      <c r="I35" s="13">
        <v>91.22</v>
      </c>
      <c r="J35" s="13">
        <v>310.7</v>
      </c>
      <c r="K35" s="14">
        <f>G35/H35</f>
        <v>19.569672131147541</v>
      </c>
    </row>
    <row r="36" spans="1:11" x14ac:dyDescent="0.2">
      <c r="A36" s="13">
        <v>6</v>
      </c>
      <c r="B36" s="13" t="s">
        <v>204</v>
      </c>
      <c r="C36" t="s">
        <v>59</v>
      </c>
      <c r="D36" s="13">
        <v>95</v>
      </c>
      <c r="E36" s="13">
        <v>94</v>
      </c>
      <c r="F36" s="13">
        <v>103</v>
      </c>
      <c r="G36" s="13">
        <f>F36-28.5</f>
        <v>74.5</v>
      </c>
      <c r="H36" s="48">
        <v>23.2</v>
      </c>
      <c r="I36" s="13">
        <v>165.94</v>
      </c>
      <c r="J36" s="13">
        <v>307.95</v>
      </c>
      <c r="K36" s="14">
        <f>G36/H36</f>
        <v>3.2112068965517242</v>
      </c>
    </row>
    <row r="37" spans="1:11" x14ac:dyDescent="0.2">
      <c r="A37" s="13">
        <v>7</v>
      </c>
      <c r="B37" s="13" t="s">
        <v>205</v>
      </c>
      <c r="C37" t="s">
        <v>59</v>
      </c>
      <c r="D37" s="13">
        <v>33</v>
      </c>
      <c r="E37" s="13">
        <v>32</v>
      </c>
      <c r="F37" s="13">
        <v>36</v>
      </c>
      <c r="G37" s="13">
        <f>F37-28.5</f>
        <v>7.5</v>
      </c>
      <c r="H37" s="48">
        <v>14.9</v>
      </c>
      <c r="I37" s="13">
        <v>486.32</v>
      </c>
      <c r="J37" s="13">
        <v>317</v>
      </c>
      <c r="K37" s="14">
        <f>G37/H37</f>
        <v>0.50335570469798652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FDAC-91C4-6240-91CF-E18AA11A309B}">
  <dimension ref="A1:X56"/>
  <sheetViews>
    <sheetView workbookViewId="0">
      <selection activeCell="L15" sqref="L15"/>
    </sheetView>
  </sheetViews>
  <sheetFormatPr baseColWidth="10" defaultRowHeight="16" x14ac:dyDescent="0.2"/>
  <cols>
    <col min="1" max="2" width="10.83203125" style="13"/>
    <col min="4" max="18" width="10.83203125" style="13"/>
  </cols>
  <sheetData>
    <row r="1" spans="1:24" s="2" customFormat="1" x14ac:dyDescent="0.2">
      <c r="A1" s="56" t="s">
        <v>0</v>
      </c>
      <c r="B1" s="56" t="s">
        <v>1</v>
      </c>
      <c r="C1" s="1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56" t="s">
        <v>10</v>
      </c>
      <c r="L1" s="42"/>
      <c r="M1" s="42" t="s">
        <v>170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/>
    </row>
    <row r="2" spans="1:24" x14ac:dyDescent="0.2">
      <c r="A2" s="13">
        <v>1</v>
      </c>
      <c r="C2" t="s">
        <v>20</v>
      </c>
      <c r="D2" s="13">
        <v>26</v>
      </c>
      <c r="E2" s="13">
        <v>22</v>
      </c>
      <c r="F2" s="13">
        <v>27</v>
      </c>
      <c r="H2" s="13">
        <v>10</v>
      </c>
      <c r="I2" s="13">
        <v>643.61</v>
      </c>
      <c r="J2" s="13">
        <v>402.86</v>
      </c>
      <c r="M2" s="42" t="s">
        <v>171</v>
      </c>
      <c r="N2" s="42" t="s">
        <v>172</v>
      </c>
      <c r="O2" s="42" t="s">
        <v>1</v>
      </c>
      <c r="P2" s="42" t="s">
        <v>12</v>
      </c>
      <c r="Q2" s="42" t="s">
        <v>14</v>
      </c>
      <c r="R2" s="42" t="s">
        <v>13</v>
      </c>
      <c r="S2" s="42" t="s">
        <v>16</v>
      </c>
      <c r="T2" s="42"/>
      <c r="U2" s="42" t="s">
        <v>17</v>
      </c>
      <c r="V2" s="42" t="s">
        <v>18</v>
      </c>
      <c r="W2" s="42" t="s">
        <v>19</v>
      </c>
      <c r="X2" s="2"/>
    </row>
    <row r="3" spans="1:24" x14ac:dyDescent="0.2">
      <c r="A3" s="13">
        <v>2</v>
      </c>
      <c r="C3" t="s">
        <v>20</v>
      </c>
      <c r="D3" s="13">
        <v>23</v>
      </c>
      <c r="E3" s="13">
        <v>20</v>
      </c>
      <c r="F3" s="13">
        <v>25</v>
      </c>
      <c r="H3" s="13">
        <v>20</v>
      </c>
      <c r="I3" s="13">
        <v>510.03</v>
      </c>
      <c r="J3" s="13">
        <v>395.23</v>
      </c>
      <c r="M3" s="13">
        <v>34</v>
      </c>
      <c r="N3" s="13">
        <v>34</v>
      </c>
      <c r="O3" s="45" t="s">
        <v>156</v>
      </c>
      <c r="P3" s="14">
        <v>24.089622641509433</v>
      </c>
      <c r="Q3" s="61">
        <v>34.6</v>
      </c>
      <c r="R3" s="14">
        <v>300.39999999999998</v>
      </c>
      <c r="S3" s="14">
        <v>52790</v>
      </c>
      <c r="T3" s="13"/>
      <c r="U3" s="27">
        <f>P3/R3</f>
        <v>8.0191819712082002E-2</v>
      </c>
      <c r="V3" s="27">
        <f>Q3/R3</f>
        <v>0.11517976031957392</v>
      </c>
      <c r="W3" s="27">
        <f>R3/52790</f>
        <v>5.6904716802424699E-3</v>
      </c>
    </row>
    <row r="4" spans="1:24" x14ac:dyDescent="0.2">
      <c r="A4" s="13">
        <v>3</v>
      </c>
      <c r="C4" t="s">
        <v>22</v>
      </c>
      <c r="D4" s="13">
        <v>25</v>
      </c>
      <c r="E4" s="13">
        <v>21</v>
      </c>
      <c r="F4" s="13">
        <v>27</v>
      </c>
      <c r="I4" s="13">
        <v>557.61</v>
      </c>
      <c r="J4" s="13">
        <v>410.1</v>
      </c>
      <c r="M4" s="13">
        <v>36</v>
      </c>
      <c r="N4" s="13">
        <v>31</v>
      </c>
      <c r="O4" s="45" t="s">
        <v>157</v>
      </c>
      <c r="P4" s="14">
        <v>21.660287081339714</v>
      </c>
      <c r="Q4" s="61">
        <v>27.1</v>
      </c>
      <c r="R4" s="14">
        <v>247.5</v>
      </c>
      <c r="S4" s="14"/>
      <c r="T4" s="13"/>
      <c r="U4" s="27">
        <f t="shared" ref="U4:U8" si="0">P4/R4</f>
        <v>8.7516311439756425E-2</v>
      </c>
      <c r="V4" s="27">
        <f t="shared" ref="V4:V8" si="1">Q4/R4</f>
        <v>0.10949494949494951</v>
      </c>
      <c r="W4" s="27">
        <f t="shared" ref="W4:W8" si="2">R4/52790</f>
        <v>4.6883879522636859E-3</v>
      </c>
    </row>
    <row r="5" spans="1:24" x14ac:dyDescent="0.2">
      <c r="A5" s="13">
        <v>4</v>
      </c>
      <c r="C5" t="s">
        <v>24</v>
      </c>
      <c r="D5" s="13">
        <v>24</v>
      </c>
      <c r="E5" s="13">
        <v>20</v>
      </c>
      <c r="F5" s="13">
        <v>25</v>
      </c>
      <c r="I5" s="13">
        <v>507.83</v>
      </c>
      <c r="J5" s="13">
        <v>421.8</v>
      </c>
      <c r="M5" s="13">
        <v>42</v>
      </c>
      <c r="N5" s="13">
        <v>31</v>
      </c>
      <c r="O5" s="45" t="s">
        <v>158</v>
      </c>
      <c r="P5" s="14">
        <v>23.131455399061032</v>
      </c>
      <c r="Q5" s="61"/>
      <c r="R5" s="14">
        <v>251.1</v>
      </c>
      <c r="S5" s="14"/>
      <c r="T5" s="13"/>
      <c r="U5" s="27">
        <f t="shared" si="0"/>
        <v>9.2120491433934817E-2</v>
      </c>
      <c r="V5" s="27"/>
      <c r="W5" s="27">
        <f t="shared" si="2"/>
        <v>4.756582686114794E-3</v>
      </c>
    </row>
    <row r="6" spans="1:24" x14ac:dyDescent="0.2">
      <c r="A6" s="13" t="s">
        <v>110</v>
      </c>
      <c r="M6" s="13">
        <v>45</v>
      </c>
      <c r="N6" s="13">
        <v>30</v>
      </c>
      <c r="O6" s="35" t="s">
        <v>159</v>
      </c>
      <c r="P6" s="36">
        <v>0.8657407407407407</v>
      </c>
      <c r="Q6" s="36">
        <v>22.8</v>
      </c>
      <c r="R6" s="36">
        <v>13.9</v>
      </c>
      <c r="S6" s="36"/>
      <c r="T6" s="35"/>
      <c r="U6" s="44">
        <f t="shared" si="0"/>
        <v>6.2283506528110842E-2</v>
      </c>
      <c r="V6" s="44">
        <f t="shared" si="1"/>
        <v>1.6402877697841727</v>
      </c>
      <c r="W6" s="44">
        <f t="shared" si="2"/>
        <v>2.6330744459177876E-4</v>
      </c>
      <c r="X6" t="s">
        <v>173</v>
      </c>
    </row>
    <row r="7" spans="1:24" x14ac:dyDescent="0.2">
      <c r="A7" s="13">
        <v>6</v>
      </c>
      <c r="B7" s="13" t="s">
        <v>156</v>
      </c>
      <c r="C7" t="s">
        <v>13</v>
      </c>
      <c r="D7" s="13">
        <v>2855</v>
      </c>
      <c r="E7" s="13">
        <v>2791</v>
      </c>
      <c r="F7" s="13">
        <v>3031</v>
      </c>
      <c r="G7" s="13">
        <f>F7-27</f>
        <v>3004</v>
      </c>
      <c r="H7" s="13">
        <v>10</v>
      </c>
      <c r="I7" s="13">
        <v>74.64</v>
      </c>
      <c r="J7" s="13">
        <v>427.09</v>
      </c>
      <c r="K7" s="14">
        <f>G7/H7</f>
        <v>300.39999999999998</v>
      </c>
      <c r="M7" s="13">
        <v>52</v>
      </c>
      <c r="N7" s="13">
        <v>30</v>
      </c>
      <c r="O7" s="45" t="s">
        <v>160</v>
      </c>
      <c r="P7" s="14">
        <v>22.228448275862071</v>
      </c>
      <c r="Q7" s="61">
        <v>16.600000000000001</v>
      </c>
      <c r="R7" s="14">
        <v>296.7</v>
      </c>
      <c r="S7" s="14"/>
      <c r="T7" s="13"/>
      <c r="U7" s="27">
        <f t="shared" si="0"/>
        <v>7.4918935880896778E-2</v>
      </c>
      <c r="V7" s="27">
        <f t="shared" si="1"/>
        <v>5.5948769801145944E-2</v>
      </c>
      <c r="W7" s="27">
        <f t="shared" si="2"/>
        <v>5.620382648228831E-3</v>
      </c>
    </row>
    <row r="8" spans="1:24" x14ac:dyDescent="0.2">
      <c r="A8" s="13">
        <v>7</v>
      </c>
      <c r="B8" s="13" t="s">
        <v>157</v>
      </c>
      <c r="C8" t="s">
        <v>13</v>
      </c>
      <c r="D8" s="13">
        <v>2358</v>
      </c>
      <c r="E8" s="13">
        <v>2305</v>
      </c>
      <c r="F8" s="13">
        <v>2502</v>
      </c>
      <c r="G8" s="13">
        <f t="shared" ref="G8:G13" si="3">F8-27</f>
        <v>2475</v>
      </c>
      <c r="H8" s="13">
        <v>10</v>
      </c>
      <c r="I8" s="13">
        <v>74.87</v>
      </c>
      <c r="J8" s="13">
        <v>429.34</v>
      </c>
      <c r="K8" s="14">
        <f t="shared" ref="K8:K37" si="4">G8/H8</f>
        <v>247.5</v>
      </c>
      <c r="M8" s="13">
        <v>58</v>
      </c>
      <c r="N8" s="13">
        <v>31</v>
      </c>
      <c r="O8" s="45" t="s">
        <v>161</v>
      </c>
      <c r="P8" s="14">
        <v>23.381625441696116</v>
      </c>
      <c r="Q8" s="36">
        <v>4.3</v>
      </c>
      <c r="R8" s="14">
        <v>323</v>
      </c>
      <c r="S8" s="14"/>
      <c r="T8" s="13"/>
      <c r="U8" s="27">
        <f t="shared" si="0"/>
        <v>7.238893325602512E-2</v>
      </c>
      <c r="V8" s="27">
        <f t="shared" si="1"/>
        <v>1.3312693498452011E-2</v>
      </c>
      <c r="W8" s="27">
        <f t="shared" si="2"/>
        <v>6.1185830649744272E-3</v>
      </c>
    </row>
    <row r="9" spans="1:24" x14ac:dyDescent="0.2">
      <c r="A9" s="13">
        <v>8</v>
      </c>
      <c r="B9" s="13" t="s">
        <v>158</v>
      </c>
      <c r="C9" t="s">
        <v>13</v>
      </c>
      <c r="D9" s="13">
        <v>2394</v>
      </c>
      <c r="E9" s="13">
        <v>2332</v>
      </c>
      <c r="F9" s="13">
        <v>2538</v>
      </c>
      <c r="G9" s="13">
        <f t="shared" si="3"/>
        <v>2511</v>
      </c>
      <c r="H9" s="13">
        <v>10</v>
      </c>
      <c r="I9" s="13">
        <v>70.650000000000006</v>
      </c>
      <c r="J9" s="13">
        <v>435.14</v>
      </c>
      <c r="K9" s="14">
        <f t="shared" si="4"/>
        <v>251.1</v>
      </c>
      <c r="M9" s="13">
        <v>57</v>
      </c>
      <c r="N9" s="13" t="s">
        <v>81</v>
      </c>
      <c r="O9" s="45" t="s">
        <v>162</v>
      </c>
      <c r="P9" s="14"/>
      <c r="Q9" s="14"/>
      <c r="R9" s="14">
        <v>-0.6</v>
      </c>
      <c r="S9" s="14"/>
      <c r="T9" s="13"/>
      <c r="U9" s="27"/>
      <c r="V9" s="27"/>
      <c r="W9" s="27">
        <f>R9/52790</f>
        <v>-1.1365788975184693E-5</v>
      </c>
      <c r="X9" t="s">
        <v>174</v>
      </c>
    </row>
    <row r="10" spans="1:24" x14ac:dyDescent="0.2">
      <c r="A10" s="13">
        <v>9</v>
      </c>
      <c r="B10" s="13" t="s">
        <v>159</v>
      </c>
      <c r="C10" t="s">
        <v>13</v>
      </c>
      <c r="D10" s="13">
        <v>156</v>
      </c>
      <c r="E10" s="13">
        <v>149</v>
      </c>
      <c r="F10" s="13">
        <v>166</v>
      </c>
      <c r="G10" s="13">
        <f t="shared" si="3"/>
        <v>139</v>
      </c>
      <c r="H10" s="13">
        <v>10</v>
      </c>
      <c r="I10" s="13">
        <v>182.96</v>
      </c>
      <c r="J10" s="13">
        <v>423.72</v>
      </c>
      <c r="K10" s="14">
        <f t="shared" si="4"/>
        <v>13.9</v>
      </c>
      <c r="O10" s="56" t="s">
        <v>175</v>
      </c>
      <c r="P10" s="62">
        <f>AVERAGE(P3:P5,P7:P8)</f>
        <v>22.898287767893674</v>
      </c>
      <c r="Q10" s="62">
        <f>AVERAGE(Q3:Q5,Q7:Q8)</f>
        <v>20.650000000000002</v>
      </c>
      <c r="R10" s="37">
        <f>AVERAGE(R3:R5,R7:R8)</f>
        <v>283.74</v>
      </c>
      <c r="S10" s="13"/>
      <c r="T10" s="13"/>
      <c r="U10" s="38">
        <f>AVERAGE(U3:U5,U7:U8)</f>
        <v>8.1427298344539017E-2</v>
      </c>
      <c r="V10" s="38">
        <f>AVERAGE(V3:V5,V7:V8)</f>
        <v>7.3484043278530337E-2</v>
      </c>
      <c r="W10" s="38">
        <f>AVERAGE(W3:W5,W7:W8)</f>
        <v>5.3748816063648409E-3</v>
      </c>
    </row>
    <row r="11" spans="1:24" x14ac:dyDescent="0.2">
      <c r="A11" s="13">
        <v>10</v>
      </c>
      <c r="B11" s="13" t="s">
        <v>160</v>
      </c>
      <c r="C11" t="s">
        <v>13</v>
      </c>
      <c r="D11" s="13">
        <v>2822</v>
      </c>
      <c r="E11" s="13">
        <v>2732</v>
      </c>
      <c r="F11" s="13">
        <v>2994</v>
      </c>
      <c r="G11" s="13">
        <f t="shared" si="3"/>
        <v>2967</v>
      </c>
      <c r="H11" s="13">
        <v>10</v>
      </c>
      <c r="I11" s="13">
        <v>60.86</v>
      </c>
      <c r="J11" s="13">
        <v>430.73</v>
      </c>
      <c r="K11" s="14">
        <f t="shared" si="4"/>
        <v>296.7</v>
      </c>
      <c r="S11" s="13"/>
      <c r="T11" s="13"/>
      <c r="U11" s="13"/>
      <c r="V11" s="13"/>
      <c r="W11" s="13"/>
    </row>
    <row r="12" spans="1:24" x14ac:dyDescent="0.2">
      <c r="A12" s="13">
        <v>11</v>
      </c>
      <c r="B12" s="13" t="s">
        <v>161</v>
      </c>
      <c r="C12" t="s">
        <v>13</v>
      </c>
      <c r="D12" s="13">
        <v>3062</v>
      </c>
      <c r="E12" s="13">
        <v>2995</v>
      </c>
      <c r="F12" s="13">
        <v>3257</v>
      </c>
      <c r="G12" s="13">
        <f t="shared" si="3"/>
        <v>3230</v>
      </c>
      <c r="H12" s="13">
        <v>10</v>
      </c>
      <c r="I12" s="13">
        <v>73.760000000000005</v>
      </c>
      <c r="J12" s="13">
        <v>413.58</v>
      </c>
      <c r="K12" s="14">
        <f t="shared" si="4"/>
        <v>323</v>
      </c>
    </row>
    <row r="13" spans="1:24" x14ac:dyDescent="0.2">
      <c r="A13" s="13">
        <v>12</v>
      </c>
      <c r="B13" s="13" t="s">
        <v>162</v>
      </c>
      <c r="C13" t="s">
        <v>13</v>
      </c>
      <c r="D13" s="13">
        <v>20</v>
      </c>
      <c r="E13" s="13">
        <v>18</v>
      </c>
      <c r="F13" s="13">
        <v>21</v>
      </c>
      <c r="G13" s="13">
        <f t="shared" si="3"/>
        <v>-6</v>
      </c>
      <c r="H13" s="13">
        <v>10</v>
      </c>
      <c r="I13" s="13">
        <v>633.21</v>
      </c>
      <c r="J13" s="13">
        <v>422.66</v>
      </c>
      <c r="K13" s="14">
        <f t="shared" si="4"/>
        <v>-0.6</v>
      </c>
      <c r="U13" s="2"/>
      <c r="V13" s="2"/>
    </row>
    <row r="14" spans="1:24" x14ac:dyDescent="0.2">
      <c r="A14" s="13" t="s">
        <v>34</v>
      </c>
      <c r="K14" s="14"/>
      <c r="M14" s="42" t="s">
        <v>171</v>
      </c>
      <c r="N14" s="42"/>
      <c r="O14" s="42" t="s">
        <v>1</v>
      </c>
      <c r="P14" s="42" t="s">
        <v>12</v>
      </c>
      <c r="Q14" s="42" t="s">
        <v>14</v>
      </c>
      <c r="R14" s="42" t="s">
        <v>13</v>
      </c>
    </row>
    <row r="15" spans="1:24" x14ac:dyDescent="0.2">
      <c r="A15" s="13">
        <v>14</v>
      </c>
      <c r="B15" s="13" t="s">
        <v>156</v>
      </c>
      <c r="C15" t="s">
        <v>14</v>
      </c>
      <c r="D15" s="13">
        <v>225</v>
      </c>
      <c r="E15" s="13">
        <v>216</v>
      </c>
      <c r="F15" s="13">
        <v>239</v>
      </c>
      <c r="G15" s="13">
        <f>F15-7</f>
        <v>232</v>
      </c>
      <c r="H15" s="13">
        <v>6.7</v>
      </c>
      <c r="I15" s="13">
        <v>143.63999999999999</v>
      </c>
      <c r="J15" s="13">
        <v>439.2</v>
      </c>
      <c r="K15" s="14">
        <f t="shared" si="4"/>
        <v>34.626865671641788</v>
      </c>
      <c r="M15" s="13">
        <v>-5</v>
      </c>
      <c r="O15" s="13" t="s">
        <v>164</v>
      </c>
      <c r="P15" s="13">
        <v>0</v>
      </c>
      <c r="Q15" s="13">
        <v>0</v>
      </c>
      <c r="R15" s="14">
        <v>-0.16250000000000001</v>
      </c>
      <c r="S15" s="6" t="s">
        <v>287</v>
      </c>
      <c r="T15" s="3"/>
      <c r="U15" s="4"/>
      <c r="V15" s="4"/>
      <c r="W15" s="4"/>
    </row>
    <row r="16" spans="1:24" x14ac:dyDescent="0.2">
      <c r="A16" s="13">
        <v>15</v>
      </c>
      <c r="B16" s="13" t="s">
        <v>157</v>
      </c>
      <c r="C16" t="s">
        <v>14</v>
      </c>
      <c r="D16" s="13">
        <v>86</v>
      </c>
      <c r="E16" s="13">
        <v>81</v>
      </c>
      <c r="F16" s="13">
        <v>91</v>
      </c>
      <c r="G16" s="13">
        <f t="shared" ref="G16:G20" si="5">F16-7</f>
        <v>84</v>
      </c>
      <c r="H16" s="13">
        <v>3.1</v>
      </c>
      <c r="I16" s="13">
        <v>229.5</v>
      </c>
      <c r="J16" s="13">
        <v>447.29</v>
      </c>
      <c r="K16" s="14">
        <f t="shared" si="4"/>
        <v>27.096774193548388</v>
      </c>
      <c r="M16" s="13">
        <v>10</v>
      </c>
      <c r="R16" s="14">
        <v>0.23749999999999999</v>
      </c>
      <c r="T16" s="3"/>
      <c r="U16" s="4"/>
      <c r="V16" s="4"/>
      <c r="W16" s="4"/>
    </row>
    <row r="17" spans="1:24" x14ac:dyDescent="0.2">
      <c r="A17" s="13">
        <v>16</v>
      </c>
      <c r="B17" s="13" t="s">
        <v>158</v>
      </c>
      <c r="C17" t="s">
        <v>14</v>
      </c>
      <c r="D17" s="13">
        <v>31</v>
      </c>
      <c r="E17" s="13">
        <v>28</v>
      </c>
      <c r="F17" s="13">
        <v>33</v>
      </c>
      <c r="G17" s="13">
        <f t="shared" si="5"/>
        <v>26</v>
      </c>
      <c r="H17" s="13" t="s">
        <v>81</v>
      </c>
      <c r="I17" s="13">
        <v>421.83</v>
      </c>
      <c r="J17" s="13">
        <v>438.95</v>
      </c>
      <c r="K17" s="14"/>
      <c r="M17" s="13">
        <v>25</v>
      </c>
      <c r="R17" s="14">
        <v>0.41249999999999998</v>
      </c>
      <c r="T17" s="3"/>
      <c r="U17" s="4"/>
      <c r="V17" s="4"/>
      <c r="W17" s="4"/>
    </row>
    <row r="18" spans="1:24" x14ac:dyDescent="0.2">
      <c r="A18" s="13">
        <v>17</v>
      </c>
      <c r="B18" s="13" t="s">
        <v>159</v>
      </c>
      <c r="C18" t="s">
        <v>14</v>
      </c>
      <c r="D18" s="13">
        <v>198</v>
      </c>
      <c r="E18" s="13">
        <v>193</v>
      </c>
      <c r="F18" s="13">
        <v>210</v>
      </c>
      <c r="G18" s="13">
        <f t="shared" si="5"/>
        <v>203</v>
      </c>
      <c r="H18" s="13">
        <v>8.9</v>
      </c>
      <c r="I18" s="13">
        <v>163.97</v>
      </c>
      <c r="J18" s="13">
        <v>439.4</v>
      </c>
      <c r="K18" s="14">
        <f t="shared" si="4"/>
        <v>22.808988764044944</v>
      </c>
      <c r="M18" s="13">
        <v>39</v>
      </c>
      <c r="R18" s="14">
        <v>0.78749999999999998</v>
      </c>
      <c r="T18" s="3"/>
      <c r="U18" s="4"/>
      <c r="V18" s="4"/>
      <c r="W18" s="4"/>
      <c r="X18" s="4"/>
    </row>
    <row r="19" spans="1:24" x14ac:dyDescent="0.2">
      <c r="A19" s="13">
        <v>18</v>
      </c>
      <c r="B19" s="13" t="s">
        <v>160</v>
      </c>
      <c r="C19" t="s">
        <v>14</v>
      </c>
      <c r="D19" s="13">
        <v>104</v>
      </c>
      <c r="E19" s="13">
        <v>99</v>
      </c>
      <c r="F19" s="13">
        <v>110</v>
      </c>
      <c r="G19" s="13">
        <f t="shared" si="5"/>
        <v>103</v>
      </c>
      <c r="H19" s="13">
        <v>6.2</v>
      </c>
      <c r="I19" s="13">
        <v>186.95</v>
      </c>
      <c r="J19" s="13">
        <v>442.14</v>
      </c>
      <c r="K19" s="14">
        <f t="shared" si="4"/>
        <v>16.612903225806452</v>
      </c>
      <c r="M19" s="13">
        <v>59</v>
      </c>
      <c r="R19" s="14">
        <v>1.7749999999999999</v>
      </c>
      <c r="T19" s="3"/>
      <c r="U19" s="4"/>
      <c r="V19" s="4"/>
      <c r="W19" s="4"/>
      <c r="X19" s="4"/>
    </row>
    <row r="20" spans="1:24" x14ac:dyDescent="0.2">
      <c r="A20" s="13">
        <v>19</v>
      </c>
      <c r="B20" s="13" t="s">
        <v>161</v>
      </c>
      <c r="C20" t="s">
        <v>14</v>
      </c>
      <c r="D20" s="13">
        <v>21</v>
      </c>
      <c r="E20" s="13">
        <v>19</v>
      </c>
      <c r="F20" s="13">
        <v>22</v>
      </c>
      <c r="G20" s="13">
        <f t="shared" si="5"/>
        <v>15</v>
      </c>
      <c r="H20" s="13">
        <v>3.5</v>
      </c>
      <c r="I20" s="13">
        <v>696.79</v>
      </c>
      <c r="J20" s="13">
        <v>449.05</v>
      </c>
      <c r="K20" s="14">
        <f t="shared" si="4"/>
        <v>4.2857142857142856</v>
      </c>
      <c r="M20" s="13">
        <v>81</v>
      </c>
      <c r="R20" s="14">
        <v>2.0125000000000002</v>
      </c>
      <c r="T20" s="3"/>
      <c r="V20" s="4"/>
      <c r="W20" s="4"/>
      <c r="X20" s="4"/>
    </row>
    <row r="21" spans="1:24" x14ac:dyDescent="0.2">
      <c r="A21" s="13" t="s">
        <v>163</v>
      </c>
      <c r="K21" s="14"/>
    </row>
    <row r="22" spans="1:24" x14ac:dyDescent="0.2">
      <c r="A22" s="13" t="s">
        <v>106</v>
      </c>
      <c r="K22" s="14"/>
    </row>
    <row r="23" spans="1:24" x14ac:dyDescent="0.2">
      <c r="A23" s="13">
        <v>22</v>
      </c>
      <c r="B23" s="13" t="s">
        <v>164</v>
      </c>
      <c r="C23" t="s">
        <v>40</v>
      </c>
      <c r="D23" s="13">
        <v>19</v>
      </c>
      <c r="E23" s="13">
        <v>17</v>
      </c>
      <c r="F23" s="13">
        <v>20</v>
      </c>
      <c r="G23" s="13">
        <f>F23-25</f>
        <v>-5</v>
      </c>
      <c r="H23" s="13">
        <v>20</v>
      </c>
      <c r="I23" s="13">
        <v>624.19000000000005</v>
      </c>
      <c r="J23" s="13">
        <v>426.32</v>
      </c>
      <c r="K23" s="14">
        <f t="shared" si="4"/>
        <v>-0.25</v>
      </c>
      <c r="M23" s="13">
        <f>AVERAGE(F23,F30)</f>
        <v>21</v>
      </c>
    </row>
    <row r="24" spans="1:24" x14ac:dyDescent="0.2">
      <c r="A24" s="13">
        <v>23</v>
      </c>
      <c r="B24" s="13" t="s">
        <v>164</v>
      </c>
      <c r="C24" t="s">
        <v>41</v>
      </c>
      <c r="D24" s="13">
        <v>23</v>
      </c>
      <c r="E24" s="13">
        <v>22</v>
      </c>
      <c r="F24" s="13">
        <v>25</v>
      </c>
      <c r="G24" s="13">
        <f t="shared" ref="G24:G35" si="6">F24-25</f>
        <v>0</v>
      </c>
      <c r="H24" s="13">
        <v>20</v>
      </c>
      <c r="I24" s="13">
        <v>728.44</v>
      </c>
      <c r="J24" s="13">
        <v>428.45</v>
      </c>
      <c r="K24" s="14">
        <f t="shared" si="4"/>
        <v>0</v>
      </c>
      <c r="M24" s="13">
        <f t="shared" ref="M24:M28" si="7">AVERAGE(F24,F31)</f>
        <v>34.5</v>
      </c>
    </row>
    <row r="25" spans="1:24" x14ac:dyDescent="0.2">
      <c r="A25" s="13">
        <v>24</v>
      </c>
      <c r="B25" s="13" t="s">
        <v>164</v>
      </c>
      <c r="C25" t="s">
        <v>42</v>
      </c>
      <c r="D25" s="13">
        <v>30</v>
      </c>
      <c r="E25" s="13">
        <v>27</v>
      </c>
      <c r="F25" s="13">
        <v>32</v>
      </c>
      <c r="G25" s="13">
        <f t="shared" si="6"/>
        <v>7</v>
      </c>
      <c r="H25" s="13">
        <v>20</v>
      </c>
      <c r="I25" s="13">
        <v>480.86</v>
      </c>
      <c r="J25" s="13">
        <v>430.76</v>
      </c>
      <c r="K25" s="14">
        <f t="shared" si="4"/>
        <v>0.35</v>
      </c>
      <c r="M25" s="13">
        <f t="shared" si="7"/>
        <v>38</v>
      </c>
    </row>
    <row r="26" spans="1:24" x14ac:dyDescent="0.2">
      <c r="A26" s="13">
        <v>25</v>
      </c>
      <c r="B26" s="13" t="s">
        <v>164</v>
      </c>
      <c r="C26" t="s">
        <v>43</v>
      </c>
      <c r="D26" s="13">
        <v>37</v>
      </c>
      <c r="E26" s="13">
        <v>34</v>
      </c>
      <c r="F26" s="13">
        <v>39</v>
      </c>
      <c r="G26" s="13">
        <f t="shared" si="6"/>
        <v>14</v>
      </c>
      <c r="H26" s="13">
        <v>20</v>
      </c>
      <c r="I26" s="13">
        <v>516.29999999999995</v>
      </c>
      <c r="J26" s="13">
        <v>428.84</v>
      </c>
      <c r="K26" s="14">
        <f t="shared" si="4"/>
        <v>0.7</v>
      </c>
      <c r="M26" s="13">
        <f t="shared" si="7"/>
        <v>49.5</v>
      </c>
    </row>
    <row r="27" spans="1:24" x14ac:dyDescent="0.2">
      <c r="A27" s="13">
        <v>26</v>
      </c>
      <c r="B27" s="13" t="s">
        <v>164</v>
      </c>
      <c r="C27" t="s">
        <v>44</v>
      </c>
      <c r="D27" s="13">
        <v>58</v>
      </c>
      <c r="E27" s="13">
        <v>54</v>
      </c>
      <c r="F27" s="13">
        <v>61</v>
      </c>
      <c r="G27" s="13">
        <f t="shared" si="6"/>
        <v>36</v>
      </c>
      <c r="H27" s="13">
        <v>20</v>
      </c>
      <c r="I27" s="13">
        <v>290.69</v>
      </c>
      <c r="J27" s="13">
        <v>431.55</v>
      </c>
      <c r="K27" s="14">
        <f t="shared" si="4"/>
        <v>1.8</v>
      </c>
      <c r="M27" s="13">
        <f t="shared" si="7"/>
        <v>78</v>
      </c>
    </row>
    <row r="28" spans="1:24" x14ac:dyDescent="0.2">
      <c r="A28" s="13">
        <v>27</v>
      </c>
      <c r="B28" s="13" t="s">
        <v>164</v>
      </c>
      <c r="C28" t="s">
        <v>45</v>
      </c>
      <c r="D28" s="13">
        <v>64</v>
      </c>
      <c r="E28" s="13">
        <v>61</v>
      </c>
      <c r="F28" s="13">
        <v>68</v>
      </c>
      <c r="G28" s="13">
        <f t="shared" si="6"/>
        <v>43</v>
      </c>
      <c r="H28" s="13">
        <v>20</v>
      </c>
      <c r="I28" s="13">
        <v>292.98</v>
      </c>
      <c r="J28" s="13">
        <v>432.17</v>
      </c>
      <c r="K28" s="14">
        <f t="shared" si="4"/>
        <v>2.15</v>
      </c>
      <c r="M28" s="13">
        <f t="shared" si="7"/>
        <v>84</v>
      </c>
    </row>
    <row r="29" spans="1:24" x14ac:dyDescent="0.2">
      <c r="A29" s="13" t="s">
        <v>165</v>
      </c>
      <c r="K29" s="14"/>
    </row>
    <row r="30" spans="1:24" x14ac:dyDescent="0.2">
      <c r="A30" s="13">
        <v>29</v>
      </c>
      <c r="B30" s="13" t="s">
        <v>164</v>
      </c>
      <c r="C30" t="s">
        <v>40</v>
      </c>
      <c r="D30" s="13">
        <v>21</v>
      </c>
      <c r="E30" s="13">
        <v>19</v>
      </c>
      <c r="F30" s="13">
        <v>22</v>
      </c>
      <c r="G30" s="13">
        <f t="shared" si="6"/>
        <v>-3</v>
      </c>
      <c r="H30" s="13">
        <v>40</v>
      </c>
      <c r="I30" s="13">
        <v>583</v>
      </c>
      <c r="J30" s="13">
        <v>424.95</v>
      </c>
      <c r="K30" s="14">
        <f t="shared" si="4"/>
        <v>-7.4999999999999997E-2</v>
      </c>
      <c r="M30" s="14">
        <f>AVERAGE(K23,K30)</f>
        <v>-0.16250000000000001</v>
      </c>
    </row>
    <row r="31" spans="1:24" x14ac:dyDescent="0.2">
      <c r="A31" s="13">
        <v>30</v>
      </c>
      <c r="B31" s="13" t="s">
        <v>164</v>
      </c>
      <c r="C31" t="s">
        <v>41</v>
      </c>
      <c r="D31" s="13">
        <v>41</v>
      </c>
      <c r="E31" s="13">
        <v>37</v>
      </c>
      <c r="F31" s="13">
        <v>44</v>
      </c>
      <c r="G31" s="13">
        <f t="shared" si="6"/>
        <v>19</v>
      </c>
      <c r="H31" s="13">
        <v>40</v>
      </c>
      <c r="I31" s="13">
        <v>472.66</v>
      </c>
      <c r="J31" s="13">
        <v>420.07</v>
      </c>
      <c r="K31" s="14">
        <f t="shared" si="4"/>
        <v>0.47499999999999998</v>
      </c>
      <c r="M31" s="14">
        <f t="shared" ref="M31:M35" si="8">AVERAGE(K24,K31)</f>
        <v>0.23749999999999999</v>
      </c>
    </row>
    <row r="32" spans="1:24" x14ac:dyDescent="0.2">
      <c r="A32" s="13">
        <v>31</v>
      </c>
      <c r="B32" s="13" t="s">
        <v>164</v>
      </c>
      <c r="C32" t="s">
        <v>42</v>
      </c>
      <c r="D32" s="13">
        <v>41</v>
      </c>
      <c r="E32" s="13">
        <v>38</v>
      </c>
      <c r="F32" s="13">
        <v>44</v>
      </c>
      <c r="G32" s="13">
        <f t="shared" si="6"/>
        <v>19</v>
      </c>
      <c r="H32" s="13">
        <v>40</v>
      </c>
      <c r="I32" s="13">
        <v>341.92</v>
      </c>
      <c r="J32" s="13">
        <v>420.13</v>
      </c>
      <c r="K32" s="14">
        <f t="shared" si="4"/>
        <v>0.47499999999999998</v>
      </c>
      <c r="M32" s="14">
        <f t="shared" si="8"/>
        <v>0.41249999999999998</v>
      </c>
    </row>
    <row r="33" spans="1:13" x14ac:dyDescent="0.2">
      <c r="A33" s="13">
        <v>32</v>
      </c>
      <c r="B33" s="13" t="s">
        <v>164</v>
      </c>
      <c r="C33" t="s">
        <v>43</v>
      </c>
      <c r="D33" s="13">
        <v>57</v>
      </c>
      <c r="E33" s="13">
        <v>53</v>
      </c>
      <c r="F33" s="13">
        <v>60</v>
      </c>
      <c r="G33" s="13">
        <f t="shared" si="6"/>
        <v>35</v>
      </c>
      <c r="H33" s="13">
        <v>40</v>
      </c>
      <c r="I33" s="13">
        <v>375.33</v>
      </c>
      <c r="J33" s="13">
        <v>420.91</v>
      </c>
      <c r="K33" s="14">
        <f t="shared" si="4"/>
        <v>0.875</v>
      </c>
      <c r="M33" s="14">
        <f t="shared" si="8"/>
        <v>0.78749999999999998</v>
      </c>
    </row>
    <row r="34" spans="1:13" x14ac:dyDescent="0.2">
      <c r="A34" s="13">
        <v>33</v>
      </c>
      <c r="B34" s="13" t="s">
        <v>164</v>
      </c>
      <c r="C34" t="s">
        <v>44</v>
      </c>
      <c r="D34" s="13">
        <v>90</v>
      </c>
      <c r="E34" s="13">
        <v>85</v>
      </c>
      <c r="F34" s="13">
        <v>95</v>
      </c>
      <c r="G34" s="13">
        <f t="shared" si="6"/>
        <v>70</v>
      </c>
      <c r="H34" s="13">
        <v>40</v>
      </c>
      <c r="I34" s="13">
        <v>235.24</v>
      </c>
      <c r="J34" s="13">
        <v>425.53</v>
      </c>
      <c r="K34" s="14">
        <f t="shared" si="4"/>
        <v>1.75</v>
      </c>
      <c r="M34" s="14">
        <f t="shared" si="8"/>
        <v>1.7749999999999999</v>
      </c>
    </row>
    <row r="35" spans="1:13" x14ac:dyDescent="0.2">
      <c r="A35" s="13">
        <v>34</v>
      </c>
      <c r="B35" s="13" t="s">
        <v>164</v>
      </c>
      <c r="C35" t="s">
        <v>45</v>
      </c>
      <c r="D35" s="13">
        <v>94</v>
      </c>
      <c r="E35" s="13">
        <v>91</v>
      </c>
      <c r="F35" s="13">
        <v>100</v>
      </c>
      <c r="G35" s="13">
        <f t="shared" si="6"/>
        <v>75</v>
      </c>
      <c r="H35" s="13">
        <v>40</v>
      </c>
      <c r="I35" s="13">
        <v>193.84</v>
      </c>
      <c r="J35" s="13">
        <v>420.82</v>
      </c>
      <c r="K35" s="14">
        <f t="shared" si="4"/>
        <v>1.875</v>
      </c>
      <c r="M35" s="14">
        <f t="shared" si="8"/>
        <v>2.0125000000000002</v>
      </c>
    </row>
    <row r="36" spans="1:13" x14ac:dyDescent="0.2">
      <c r="A36" s="13" t="s">
        <v>166</v>
      </c>
      <c r="K36" s="14"/>
    </row>
    <row r="37" spans="1:13" x14ac:dyDescent="0.2">
      <c r="A37" s="13">
        <v>36</v>
      </c>
      <c r="B37" s="13" t="s">
        <v>164</v>
      </c>
      <c r="C37" t="s">
        <v>14</v>
      </c>
      <c r="D37" s="13">
        <v>20</v>
      </c>
      <c r="E37" s="13">
        <v>18</v>
      </c>
      <c r="F37" s="13">
        <v>21</v>
      </c>
      <c r="G37" s="13">
        <f>F37-27</f>
        <v>-6</v>
      </c>
      <c r="H37" s="13">
        <v>48.3</v>
      </c>
      <c r="I37" s="13">
        <v>544.30999999999995</v>
      </c>
      <c r="J37" s="13">
        <v>414.33</v>
      </c>
      <c r="K37" s="14">
        <f t="shared" si="4"/>
        <v>-0.12422360248447206</v>
      </c>
    </row>
    <row r="38" spans="1:13" x14ac:dyDescent="0.2">
      <c r="A38" s="13" t="s">
        <v>167</v>
      </c>
    </row>
    <row r="39" spans="1:13" x14ac:dyDescent="0.2">
      <c r="A39" s="13">
        <v>38</v>
      </c>
      <c r="B39" s="13" t="s">
        <v>168</v>
      </c>
      <c r="C39" t="s">
        <v>51</v>
      </c>
      <c r="D39" s="13">
        <v>5008</v>
      </c>
      <c r="E39" s="13">
        <v>4927</v>
      </c>
      <c r="F39" s="13">
        <v>5304</v>
      </c>
      <c r="G39" s="13">
        <f>F39-25</f>
        <v>5279</v>
      </c>
      <c r="H39" s="13">
        <v>1</v>
      </c>
      <c r="I39" s="13">
        <v>84.34</v>
      </c>
      <c r="J39" s="13">
        <v>441.99</v>
      </c>
      <c r="K39" s="13">
        <f>G39*10</f>
        <v>52790</v>
      </c>
    </row>
    <row r="43" spans="1:13" x14ac:dyDescent="0.2">
      <c r="A43" s="56" t="s">
        <v>0</v>
      </c>
      <c r="B43" s="56" t="s">
        <v>1</v>
      </c>
      <c r="C43" s="1" t="s">
        <v>2</v>
      </c>
      <c r="D43" s="56" t="s">
        <v>3</v>
      </c>
      <c r="E43" s="56" t="s">
        <v>4</v>
      </c>
      <c r="F43" s="56" t="s">
        <v>5</v>
      </c>
      <c r="G43" s="56" t="s">
        <v>6</v>
      </c>
      <c r="H43" s="56" t="s">
        <v>7</v>
      </c>
      <c r="I43" s="56" t="s">
        <v>8</v>
      </c>
      <c r="J43" s="56" t="s">
        <v>9</v>
      </c>
      <c r="K43" s="56" t="s">
        <v>10</v>
      </c>
    </row>
    <row r="44" spans="1:13" x14ac:dyDescent="0.2">
      <c r="A44" s="13">
        <v>1</v>
      </c>
      <c r="C44" t="s">
        <v>56</v>
      </c>
      <c r="D44" s="13">
        <v>25</v>
      </c>
      <c r="E44" s="13">
        <v>22</v>
      </c>
      <c r="F44" s="13">
        <v>27</v>
      </c>
      <c r="I44" s="13">
        <v>442.55</v>
      </c>
      <c r="J44" s="13">
        <v>280.51</v>
      </c>
    </row>
    <row r="45" spans="1:13" x14ac:dyDescent="0.2">
      <c r="A45" s="13">
        <v>2</v>
      </c>
      <c r="C45" t="s">
        <v>56</v>
      </c>
      <c r="D45" s="13">
        <v>22</v>
      </c>
      <c r="E45" s="13">
        <v>21</v>
      </c>
      <c r="F45" s="13">
        <v>25</v>
      </c>
      <c r="I45" s="13">
        <v>423.85</v>
      </c>
      <c r="J45" s="13">
        <v>241.94</v>
      </c>
    </row>
    <row r="46" spans="1:13" x14ac:dyDescent="0.2">
      <c r="A46" s="13">
        <v>3</v>
      </c>
      <c r="C46" t="s">
        <v>56</v>
      </c>
      <c r="D46" s="13">
        <v>27</v>
      </c>
      <c r="E46" s="13">
        <v>24</v>
      </c>
      <c r="F46" s="13">
        <v>30</v>
      </c>
      <c r="G46" s="13">
        <f>AVERAGE(F44:F46)</f>
        <v>27.333333333333332</v>
      </c>
      <c r="I46" s="13">
        <v>384.51</v>
      </c>
      <c r="J46" s="13">
        <v>248.37</v>
      </c>
    </row>
    <row r="47" spans="1:13" x14ac:dyDescent="0.2">
      <c r="A47" s="13" t="s">
        <v>26</v>
      </c>
    </row>
    <row r="48" spans="1:13" x14ac:dyDescent="0.2">
      <c r="A48" s="13">
        <v>5</v>
      </c>
      <c r="B48" s="45" t="s">
        <v>156</v>
      </c>
      <c r="C48" t="s">
        <v>12</v>
      </c>
      <c r="D48" s="13">
        <v>495</v>
      </c>
      <c r="E48" s="13">
        <v>487</v>
      </c>
      <c r="F48" s="13">
        <v>538</v>
      </c>
      <c r="G48" s="13">
        <f>F48-27.3</f>
        <v>510.7</v>
      </c>
      <c r="H48" s="13">
        <v>21.2</v>
      </c>
      <c r="I48" s="13">
        <v>91.64</v>
      </c>
      <c r="J48" s="13">
        <v>305.89</v>
      </c>
      <c r="K48" s="14">
        <f>G48/H48</f>
        <v>24.089622641509433</v>
      </c>
    </row>
    <row r="49" spans="1:11" x14ac:dyDescent="0.2">
      <c r="A49" s="13">
        <v>6</v>
      </c>
      <c r="B49" s="45" t="s">
        <v>157</v>
      </c>
      <c r="C49" t="s">
        <v>12</v>
      </c>
      <c r="D49" s="13">
        <v>441</v>
      </c>
      <c r="E49" s="13">
        <v>434</v>
      </c>
      <c r="F49" s="13">
        <v>480</v>
      </c>
      <c r="G49" s="13">
        <f t="shared" ref="G49:G56" si="9">F49-27.3</f>
        <v>452.7</v>
      </c>
      <c r="H49" s="13">
        <v>20.9</v>
      </c>
      <c r="I49" s="13">
        <v>81.75</v>
      </c>
      <c r="J49" s="13">
        <v>301.14</v>
      </c>
      <c r="K49" s="14">
        <f t="shared" ref="K49:K56" si="10">G49/H49</f>
        <v>21.660287081339714</v>
      </c>
    </row>
    <row r="50" spans="1:11" x14ac:dyDescent="0.2">
      <c r="A50" s="13">
        <v>7</v>
      </c>
      <c r="B50" s="45" t="s">
        <v>158</v>
      </c>
      <c r="C50" t="s">
        <v>12</v>
      </c>
      <c r="D50" s="13">
        <v>477</v>
      </c>
      <c r="E50" s="13">
        <v>472</v>
      </c>
      <c r="F50" s="13">
        <v>520</v>
      </c>
      <c r="G50" s="13">
        <f t="shared" si="9"/>
        <v>492.7</v>
      </c>
      <c r="H50" s="13">
        <v>21.3</v>
      </c>
      <c r="I50" s="13">
        <v>82.9</v>
      </c>
      <c r="J50" s="13">
        <v>291.44</v>
      </c>
      <c r="K50" s="14">
        <f t="shared" si="10"/>
        <v>23.131455399061032</v>
      </c>
    </row>
    <row r="51" spans="1:11" x14ac:dyDescent="0.2">
      <c r="A51" s="13">
        <v>8</v>
      </c>
      <c r="B51" s="45" t="s">
        <v>159</v>
      </c>
      <c r="C51" t="s">
        <v>12</v>
      </c>
      <c r="D51" s="13">
        <v>42</v>
      </c>
      <c r="E51" s="13">
        <v>41</v>
      </c>
      <c r="F51" s="13">
        <v>46</v>
      </c>
      <c r="G51" s="13">
        <f t="shared" si="9"/>
        <v>18.7</v>
      </c>
      <c r="H51" s="13">
        <v>21.6</v>
      </c>
      <c r="I51" s="13">
        <v>379.07</v>
      </c>
      <c r="J51" s="13">
        <v>296.91000000000003</v>
      </c>
      <c r="K51" s="14">
        <f t="shared" si="10"/>
        <v>0.8657407407407407</v>
      </c>
    </row>
    <row r="52" spans="1:11" x14ac:dyDescent="0.2">
      <c r="A52" s="13">
        <v>9</v>
      </c>
      <c r="B52" s="45" t="s">
        <v>160</v>
      </c>
      <c r="C52" t="s">
        <v>12</v>
      </c>
      <c r="D52" s="13">
        <v>500</v>
      </c>
      <c r="E52" s="13">
        <v>494</v>
      </c>
      <c r="F52" s="13">
        <v>543</v>
      </c>
      <c r="G52" s="13">
        <f t="shared" si="9"/>
        <v>515.70000000000005</v>
      </c>
      <c r="H52" s="13">
        <v>23.2</v>
      </c>
      <c r="I52" s="13">
        <v>82.69</v>
      </c>
      <c r="J52" s="13">
        <v>308.36</v>
      </c>
      <c r="K52" s="14">
        <f t="shared" si="10"/>
        <v>22.228448275862071</v>
      </c>
    </row>
    <row r="53" spans="1:11" x14ac:dyDescent="0.2">
      <c r="A53" s="13">
        <v>10</v>
      </c>
      <c r="B53" s="45" t="s">
        <v>161</v>
      </c>
      <c r="C53" t="s">
        <v>12</v>
      </c>
      <c r="D53" s="13">
        <v>633</v>
      </c>
      <c r="E53" s="13">
        <v>623</v>
      </c>
      <c r="F53" s="13">
        <v>689</v>
      </c>
      <c r="G53" s="13">
        <f t="shared" si="9"/>
        <v>661.7</v>
      </c>
      <c r="H53" s="13">
        <v>28.3</v>
      </c>
      <c r="I53" s="13">
        <v>75.02</v>
      </c>
      <c r="J53" s="13">
        <v>298.95</v>
      </c>
      <c r="K53" s="14">
        <f t="shared" si="10"/>
        <v>23.381625441696116</v>
      </c>
    </row>
    <row r="54" spans="1:11" x14ac:dyDescent="0.2">
      <c r="A54" s="13" t="s">
        <v>169</v>
      </c>
      <c r="B54" s="45"/>
      <c r="K54" s="14"/>
    </row>
    <row r="55" spans="1:11" x14ac:dyDescent="0.2">
      <c r="A55" s="13">
        <v>12</v>
      </c>
      <c r="B55" s="45" t="s">
        <v>164</v>
      </c>
      <c r="C55" t="s">
        <v>59</v>
      </c>
      <c r="D55" s="13">
        <v>21</v>
      </c>
      <c r="E55" s="13">
        <v>19</v>
      </c>
      <c r="F55" s="13">
        <v>23</v>
      </c>
      <c r="G55" s="13">
        <f t="shared" si="9"/>
        <v>-4.3000000000000007</v>
      </c>
      <c r="H55" s="13">
        <v>27.7</v>
      </c>
      <c r="I55" s="13">
        <v>614.15</v>
      </c>
      <c r="J55" s="13">
        <v>289.88</v>
      </c>
      <c r="K55" s="14">
        <f t="shared" si="10"/>
        <v>-0.15523465703971123</v>
      </c>
    </row>
    <row r="56" spans="1:11" x14ac:dyDescent="0.2">
      <c r="A56" s="13">
        <v>13</v>
      </c>
      <c r="B56" s="45" t="s">
        <v>164</v>
      </c>
      <c r="C56" t="s">
        <v>58</v>
      </c>
      <c r="D56" s="13">
        <v>25</v>
      </c>
      <c r="E56" s="13">
        <v>22</v>
      </c>
      <c r="F56" s="13">
        <v>27</v>
      </c>
      <c r="G56" s="13">
        <f t="shared" si="9"/>
        <v>-0.30000000000000071</v>
      </c>
      <c r="H56" s="13">
        <v>16.7</v>
      </c>
      <c r="I56" s="13">
        <v>523.76</v>
      </c>
      <c r="J56" s="13">
        <v>307.19</v>
      </c>
      <c r="K56" s="14">
        <f t="shared" si="10"/>
        <v>-1.796407185628747E-2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7B939-2633-794B-BB45-52E83BBF435A}">
  <dimension ref="A2:AZ24"/>
  <sheetViews>
    <sheetView workbookViewId="0">
      <selection activeCell="S30" sqref="S30"/>
    </sheetView>
  </sheetViews>
  <sheetFormatPr baseColWidth="10" defaultRowHeight="16" x14ac:dyDescent="0.2"/>
  <cols>
    <col min="1" max="2" width="10.83203125" style="13"/>
    <col min="3" max="3" width="16.33203125" style="13" bestFit="1" customWidth="1"/>
    <col min="4" max="5" width="10.83203125" style="13"/>
    <col min="6" max="6" width="17.83203125" style="13" bestFit="1" customWidth="1"/>
    <col min="7" max="7" width="10.83203125" style="13"/>
    <col min="8" max="8" width="16.6640625" style="13" bestFit="1" customWidth="1"/>
    <col min="9" max="9" width="16.6640625" style="13" customWidth="1"/>
    <col min="10" max="11" width="10.83203125" style="13"/>
    <col min="12" max="12" width="17.83203125" style="13" bestFit="1" customWidth="1"/>
    <col min="14" max="14" width="17.1640625" style="13" bestFit="1" customWidth="1"/>
    <col min="15" max="15" width="17.1640625" style="13" customWidth="1"/>
    <col min="16" max="17" width="10.83203125" style="13"/>
    <col min="18" max="18" width="17.83203125" style="13" bestFit="1" customWidth="1"/>
    <col min="19" max="19" width="10.83203125" style="13"/>
    <col min="20" max="20" width="17.1640625" style="13" bestFit="1" customWidth="1"/>
    <col min="21" max="21" width="17.1640625" style="13" customWidth="1"/>
    <col min="22" max="23" width="10.83203125" style="13"/>
    <col min="24" max="24" width="17.83203125" style="13" bestFit="1" customWidth="1"/>
    <col min="34" max="41" width="10.83203125" style="13"/>
    <col min="53" max="16384" width="10.83203125" style="13"/>
  </cols>
  <sheetData>
    <row r="2" spans="1:24" x14ac:dyDescent="0.2">
      <c r="A2" s="46"/>
      <c r="B2" s="53" t="s">
        <v>236</v>
      </c>
      <c r="C2" s="53"/>
      <c r="D2" s="53"/>
      <c r="E2" s="53"/>
      <c r="F2" s="53"/>
      <c r="G2" s="46"/>
      <c r="H2" s="53" t="s">
        <v>247</v>
      </c>
      <c r="I2" s="53"/>
      <c r="J2" s="53"/>
      <c r="K2" s="53"/>
      <c r="L2" s="53"/>
      <c r="N2" s="53" t="s">
        <v>246</v>
      </c>
      <c r="O2" s="53"/>
      <c r="P2" s="53"/>
      <c r="Q2" s="53"/>
      <c r="R2" s="53"/>
      <c r="T2" s="53" t="s">
        <v>248</v>
      </c>
      <c r="U2" s="53"/>
      <c r="V2" s="53"/>
      <c r="W2" s="53"/>
      <c r="X2" s="53"/>
    </row>
    <row r="3" spans="1:24" x14ac:dyDescent="0.2">
      <c r="B3" s="12" t="s">
        <v>1</v>
      </c>
      <c r="C3" s="12"/>
      <c r="D3" s="12" t="s">
        <v>249</v>
      </c>
      <c r="E3" s="12" t="s">
        <v>13</v>
      </c>
      <c r="F3" s="12" t="s">
        <v>250</v>
      </c>
      <c r="H3" s="12" t="s">
        <v>1</v>
      </c>
      <c r="I3" s="12"/>
      <c r="J3" s="12" t="s">
        <v>249</v>
      </c>
      <c r="K3" s="12" t="s">
        <v>13</v>
      </c>
      <c r="L3" s="12" t="s">
        <v>250</v>
      </c>
      <c r="N3" s="12" t="s">
        <v>1</v>
      </c>
      <c r="O3" s="12"/>
      <c r="P3" s="12" t="s">
        <v>249</v>
      </c>
      <c r="Q3" s="12" t="s">
        <v>13</v>
      </c>
      <c r="R3" s="12" t="s">
        <v>250</v>
      </c>
      <c r="T3" s="12" t="s">
        <v>1</v>
      </c>
      <c r="U3" s="12"/>
      <c r="V3" s="12" t="s">
        <v>11</v>
      </c>
      <c r="W3" s="12" t="s">
        <v>13</v>
      </c>
      <c r="X3" s="12" t="s">
        <v>250</v>
      </c>
    </row>
    <row r="4" spans="1:24" x14ac:dyDescent="0.2">
      <c r="B4" s="13" t="s">
        <v>60</v>
      </c>
      <c r="D4" s="24">
        <v>0.625</v>
      </c>
      <c r="E4" s="13">
        <v>275.89999999999998</v>
      </c>
      <c r="H4" s="13" t="s">
        <v>211</v>
      </c>
      <c r="J4" s="24">
        <v>0.50624999999999998</v>
      </c>
      <c r="K4" s="13">
        <v>324.3</v>
      </c>
      <c r="N4" s="13" t="s">
        <v>156</v>
      </c>
      <c r="P4" s="47">
        <v>0.5131944444444444</v>
      </c>
      <c r="Q4" s="13">
        <v>300.39999999999998</v>
      </c>
      <c r="T4" s="13" t="s">
        <v>180</v>
      </c>
      <c r="V4" s="24">
        <v>0.7104166666666667</v>
      </c>
      <c r="W4" s="13">
        <v>90.5</v>
      </c>
    </row>
    <row r="5" spans="1:24" x14ac:dyDescent="0.2">
      <c r="B5" s="13" t="s">
        <v>61</v>
      </c>
      <c r="D5" s="24">
        <v>0.63541666666666663</v>
      </c>
      <c r="E5" s="13">
        <v>247.2</v>
      </c>
      <c r="H5" s="13" t="s">
        <v>212</v>
      </c>
      <c r="J5" s="24">
        <v>0.51041666666666663</v>
      </c>
      <c r="K5" s="13">
        <v>340.4</v>
      </c>
      <c r="N5" s="13" t="s">
        <v>157</v>
      </c>
      <c r="P5" s="47">
        <v>0.51666666666666672</v>
      </c>
      <c r="Q5" s="13">
        <v>247.5</v>
      </c>
      <c r="T5" s="13" t="s">
        <v>181</v>
      </c>
      <c r="V5" s="24">
        <v>0.72222222222222221</v>
      </c>
      <c r="W5" s="13">
        <v>126.5</v>
      </c>
    </row>
    <row r="6" spans="1:24" x14ac:dyDescent="0.2">
      <c r="B6" s="13" t="s">
        <v>62</v>
      </c>
      <c r="D6" s="24">
        <v>0.64236111111111105</v>
      </c>
      <c r="E6" s="13">
        <v>276.10000000000002</v>
      </c>
      <c r="H6" s="13" t="s">
        <v>213</v>
      </c>
      <c r="J6" s="24">
        <v>0.51388888888888895</v>
      </c>
      <c r="K6" s="13">
        <v>318.5</v>
      </c>
      <c r="N6" s="13" t="s">
        <v>158</v>
      </c>
      <c r="P6" s="47">
        <v>0.52083333333333337</v>
      </c>
      <c r="Q6" s="13">
        <v>251.1</v>
      </c>
      <c r="T6" s="13" t="s">
        <v>182</v>
      </c>
      <c r="V6" s="24">
        <v>0.73125000000000007</v>
      </c>
      <c r="W6" s="13">
        <v>61.6</v>
      </c>
    </row>
    <row r="7" spans="1:24" x14ac:dyDescent="0.2">
      <c r="B7" s="13" t="s">
        <v>63</v>
      </c>
      <c r="D7" s="24">
        <v>0.65416666666666667</v>
      </c>
      <c r="E7" s="13">
        <v>284.8</v>
      </c>
      <c r="H7" s="13" t="s">
        <v>214</v>
      </c>
      <c r="J7" s="24">
        <v>0.51736111111111105</v>
      </c>
      <c r="K7" s="13">
        <v>285.8</v>
      </c>
      <c r="N7" s="13" t="s">
        <v>160</v>
      </c>
      <c r="P7" s="47">
        <v>0.52847222222222223</v>
      </c>
      <c r="Q7" s="13">
        <v>296.7</v>
      </c>
      <c r="T7" s="13" t="s">
        <v>183</v>
      </c>
      <c r="V7" s="24">
        <v>0.7416666666666667</v>
      </c>
      <c r="W7" s="13">
        <v>105.6</v>
      </c>
    </row>
    <row r="8" spans="1:24" x14ac:dyDescent="0.2">
      <c r="B8" s="13" t="s">
        <v>64</v>
      </c>
      <c r="D8" s="24">
        <v>0.66597222222222219</v>
      </c>
      <c r="E8" s="13">
        <v>233</v>
      </c>
      <c r="H8" s="13" t="s">
        <v>215</v>
      </c>
      <c r="J8" s="24">
        <v>0.52083333333333337</v>
      </c>
      <c r="K8" s="13">
        <v>263.60000000000002</v>
      </c>
      <c r="N8" s="13" t="s">
        <v>161</v>
      </c>
      <c r="P8" s="47">
        <v>0.53194444444444444</v>
      </c>
      <c r="Q8" s="13">
        <v>323</v>
      </c>
    </row>
    <row r="9" spans="1:24" x14ac:dyDescent="0.2">
      <c r="B9" s="13" t="s">
        <v>65</v>
      </c>
      <c r="D9" s="24">
        <v>0.6743055555555556</v>
      </c>
      <c r="E9" s="13">
        <v>129.1</v>
      </c>
      <c r="H9" s="13" t="s">
        <v>216</v>
      </c>
      <c r="J9" s="24">
        <v>0.52430555555555558</v>
      </c>
      <c r="K9" s="13">
        <v>316.60000000000002</v>
      </c>
      <c r="P9" s="47"/>
      <c r="T9" s="12" t="s">
        <v>218</v>
      </c>
      <c r="U9" s="12" t="s">
        <v>184</v>
      </c>
      <c r="V9" s="12" t="s">
        <v>251</v>
      </c>
      <c r="W9" s="12" t="s">
        <v>13</v>
      </c>
    </row>
    <row r="10" spans="1:24" x14ac:dyDescent="0.2">
      <c r="B10" s="13" t="s">
        <v>66</v>
      </c>
      <c r="D10" s="24">
        <v>0.70347222222222217</v>
      </c>
      <c r="E10" s="13">
        <v>247.9</v>
      </c>
      <c r="N10" s="12" t="s">
        <v>218</v>
      </c>
      <c r="O10" s="12" t="s">
        <v>184</v>
      </c>
      <c r="P10" s="12" t="s">
        <v>251</v>
      </c>
      <c r="Q10" s="12" t="s">
        <v>13</v>
      </c>
      <c r="T10" s="13" t="s">
        <v>252</v>
      </c>
      <c r="V10" s="24">
        <v>0.67083333333333339</v>
      </c>
      <c r="W10" s="13">
        <v>-0.35</v>
      </c>
    </row>
    <row r="11" spans="1:24" x14ac:dyDescent="0.2">
      <c r="B11" s="13" t="s">
        <v>67</v>
      </c>
      <c r="D11" s="24">
        <v>0.71111111111111114</v>
      </c>
      <c r="E11" s="13">
        <v>275.60000000000002</v>
      </c>
      <c r="H11" s="12" t="s">
        <v>218</v>
      </c>
      <c r="I11" s="12" t="s">
        <v>184</v>
      </c>
      <c r="J11" s="12" t="s">
        <v>251</v>
      </c>
      <c r="K11" s="12" t="s">
        <v>13</v>
      </c>
      <c r="N11" s="13" t="s">
        <v>253</v>
      </c>
      <c r="O11" s="24"/>
      <c r="P11" s="24">
        <v>0.50972222222222219</v>
      </c>
      <c r="Q11" s="25">
        <v>-0.16250000000000001</v>
      </c>
      <c r="R11" s="13">
        <v>0</v>
      </c>
      <c r="T11" s="13" t="s">
        <v>254</v>
      </c>
      <c r="V11" s="24">
        <v>0.69305555555555554</v>
      </c>
      <c r="W11" s="13">
        <v>-0.45</v>
      </c>
    </row>
    <row r="12" spans="1:24" x14ac:dyDescent="0.2">
      <c r="H12" s="13" t="s">
        <v>256</v>
      </c>
      <c r="J12" s="24">
        <v>0.50347222222222221</v>
      </c>
      <c r="K12" s="13">
        <v>0</v>
      </c>
      <c r="N12" s="13" t="s">
        <v>255</v>
      </c>
      <c r="O12" s="48">
        <f>(P12-P4)*1440</f>
        <v>1.0000000000001563</v>
      </c>
      <c r="P12" s="24">
        <v>0.51388888888888895</v>
      </c>
      <c r="Q12" s="49">
        <v>0.23749999999999999</v>
      </c>
      <c r="R12" s="27">
        <f>Q12/Q4</f>
        <v>7.9061251664447405E-4</v>
      </c>
      <c r="T12" s="13" t="s">
        <v>257</v>
      </c>
      <c r="V12" s="24">
        <v>0.70833333333333337</v>
      </c>
      <c r="W12" s="13">
        <v>-0.3</v>
      </c>
    </row>
    <row r="13" spans="1:24" x14ac:dyDescent="0.2">
      <c r="B13" s="12" t="s">
        <v>218</v>
      </c>
      <c r="C13" s="12" t="s">
        <v>184</v>
      </c>
      <c r="D13" s="12" t="s">
        <v>251</v>
      </c>
      <c r="E13" s="12" t="s">
        <v>13</v>
      </c>
      <c r="H13" s="13" t="s">
        <v>259</v>
      </c>
      <c r="I13" s="13">
        <f t="shared" ref="I13:I18" si="0">(J13-$J$4)*1440</f>
        <v>11.999999999999957</v>
      </c>
      <c r="J13" s="24">
        <v>0.51458333333333328</v>
      </c>
      <c r="K13" s="13">
        <v>0</v>
      </c>
      <c r="L13" s="13">
        <v>0</v>
      </c>
      <c r="N13" s="13" t="s">
        <v>258</v>
      </c>
      <c r="O13" s="48">
        <f>(P13-P4)*1440</f>
        <v>25.000000000000071</v>
      </c>
      <c r="P13" s="24">
        <v>0.53055555555555556</v>
      </c>
      <c r="Q13" s="49">
        <v>0.41249999999999998</v>
      </c>
      <c r="R13" s="27">
        <f>Q13/AVERAGE(Q4:Q7)</f>
        <v>1.505886647805056E-3</v>
      </c>
      <c r="T13" s="13" t="s">
        <v>260</v>
      </c>
      <c r="U13" s="13">
        <f t="shared" ref="U13:U20" si="1">(V13-V$4)*1440</f>
        <v>14.999999999999947</v>
      </c>
      <c r="V13" s="24">
        <v>0.72083333333333333</v>
      </c>
      <c r="W13" s="13">
        <v>-0.3</v>
      </c>
      <c r="X13" s="13">
        <v>0</v>
      </c>
    </row>
    <row r="14" spans="1:24" x14ac:dyDescent="0.2">
      <c r="B14" s="13" t="s">
        <v>263</v>
      </c>
      <c r="C14" s="13">
        <f>(D14-D$4)*1440</f>
        <v>2.9999999999999893</v>
      </c>
      <c r="D14" s="24">
        <v>0.62708333333333333</v>
      </c>
      <c r="E14" s="13">
        <v>0</v>
      </c>
      <c r="F14" s="13">
        <v>0</v>
      </c>
      <c r="H14" s="13" t="s">
        <v>262</v>
      </c>
      <c r="I14" s="13">
        <f t="shared" si="0"/>
        <v>27.000000000000064</v>
      </c>
      <c r="J14" s="24">
        <v>0.52500000000000002</v>
      </c>
      <c r="K14" s="13">
        <v>0.5</v>
      </c>
      <c r="L14" s="27">
        <f>K14/AVERAGE($K$4:$K$9)</f>
        <v>1.6223231667748216E-3</v>
      </c>
      <c r="N14" s="13" t="s">
        <v>261</v>
      </c>
      <c r="O14" s="48">
        <f>(P14-P4)*1440</f>
        <v>39.000000000000021</v>
      </c>
      <c r="P14" s="24">
        <v>0.54027777777777775</v>
      </c>
      <c r="Q14" s="49">
        <v>0.78749999999999998</v>
      </c>
      <c r="R14" s="27">
        <f>Q14/AVERAGE(Q4:Q8)</f>
        <v>2.7754282089236621E-3</v>
      </c>
      <c r="T14" s="13" t="s">
        <v>264</v>
      </c>
      <c r="U14" s="13">
        <f t="shared" si="1"/>
        <v>26.999999999999904</v>
      </c>
      <c r="V14" s="24">
        <v>0.72916666666666663</v>
      </c>
      <c r="W14" s="13">
        <v>-0.25</v>
      </c>
      <c r="X14" s="13">
        <v>0</v>
      </c>
    </row>
    <row r="15" spans="1:24" x14ac:dyDescent="0.2">
      <c r="B15" s="13" t="s">
        <v>267</v>
      </c>
      <c r="C15" s="13">
        <f t="shared" ref="C15:C24" si="2">(D15-D$4)*1440</f>
        <v>16.99999999999994</v>
      </c>
      <c r="D15" s="24">
        <v>0.63680555555555551</v>
      </c>
      <c r="E15" s="13">
        <v>0.05</v>
      </c>
      <c r="F15" s="27">
        <f>E15/AVERAGE(E4:E5)</f>
        <v>1.9116803670426308E-4</v>
      </c>
      <c r="H15" s="13" t="s">
        <v>266</v>
      </c>
      <c r="I15" s="13">
        <f t="shared" si="0"/>
        <v>44</v>
      </c>
      <c r="J15" s="24">
        <v>0.53680555555555554</v>
      </c>
      <c r="K15" s="13">
        <v>1.5</v>
      </c>
      <c r="L15" s="27">
        <f>K15/AVERAGE($K$4:$K$9)</f>
        <v>4.8669695003244647E-3</v>
      </c>
      <c r="N15" s="13" t="s">
        <v>265</v>
      </c>
      <c r="O15" s="48">
        <f>(P15-P4)*1440</f>
        <v>59.000000000000114</v>
      </c>
      <c r="P15" s="24">
        <v>0.5541666666666667</v>
      </c>
      <c r="Q15" s="49">
        <v>1.7749999999999999</v>
      </c>
      <c r="R15" s="27">
        <f>Q15/AVERAGE(Q4:Q8)</f>
        <v>6.2557270740819055E-3</v>
      </c>
      <c r="T15" s="13" t="s">
        <v>268</v>
      </c>
      <c r="U15" s="13">
        <f t="shared" si="1"/>
        <v>42.000000000000014</v>
      </c>
      <c r="V15" s="24">
        <v>0.73958333333333337</v>
      </c>
      <c r="W15" s="13">
        <v>-0.1</v>
      </c>
      <c r="X15" s="13">
        <v>0</v>
      </c>
    </row>
    <row r="16" spans="1:24" x14ac:dyDescent="0.2">
      <c r="B16" s="13" t="s">
        <v>271</v>
      </c>
      <c r="C16" s="13">
        <f t="shared" si="2"/>
        <v>26.999999999999904</v>
      </c>
      <c r="D16" s="24">
        <v>0.64374999999999993</v>
      </c>
      <c r="E16" s="13">
        <v>0.32500000000000001</v>
      </c>
      <c r="F16" s="27">
        <f>E16/AVERAGE(E4:E6)</f>
        <v>1.21996996996997E-3</v>
      </c>
      <c r="H16" s="13" t="s">
        <v>270</v>
      </c>
      <c r="I16" s="13">
        <f t="shared" si="0"/>
        <v>56.999999999999957</v>
      </c>
      <c r="J16" s="24">
        <v>0.54583333333333328</v>
      </c>
      <c r="K16" s="13">
        <v>2</v>
      </c>
      <c r="L16" s="27">
        <f>K16/AVERAGE($K$4:$K$9)</f>
        <v>6.4892926670992862E-3</v>
      </c>
      <c r="N16" s="13" t="s">
        <v>269</v>
      </c>
      <c r="O16" s="48">
        <f>(P16-P4)*1440</f>
        <v>81.000000000000028</v>
      </c>
      <c r="P16" s="24">
        <v>0.56944444444444442</v>
      </c>
      <c r="Q16" s="49">
        <v>2.0125000000000002</v>
      </c>
      <c r="R16" s="27">
        <f>Q16/AVERAGE(Q4:Q8)</f>
        <v>7.0927609783604717E-3</v>
      </c>
      <c r="T16" s="13" t="s">
        <v>272</v>
      </c>
      <c r="U16" s="13">
        <f t="shared" si="1"/>
        <v>47.999999999999986</v>
      </c>
      <c r="V16" s="24">
        <v>0.74375000000000002</v>
      </c>
      <c r="W16" s="13">
        <v>0.25</v>
      </c>
      <c r="X16" s="27">
        <f>W16/AVERAGE(W4:W7)</f>
        <v>2.6028110359187918E-3</v>
      </c>
    </row>
    <row r="17" spans="2:24" x14ac:dyDescent="0.2">
      <c r="B17" s="13" t="s">
        <v>274</v>
      </c>
      <c r="C17" s="13">
        <f t="shared" si="2"/>
        <v>59.999999999999943</v>
      </c>
      <c r="D17" s="24">
        <v>0.66666666666666663</v>
      </c>
      <c r="E17" s="13">
        <v>0.625</v>
      </c>
      <c r="F17" s="27">
        <f>E17/AVERAGE(E4:E8)</f>
        <v>2.372817008352316E-3</v>
      </c>
      <c r="H17" s="13" t="s">
        <v>273</v>
      </c>
      <c r="I17" s="13">
        <f t="shared" si="0"/>
        <v>86.000000000000014</v>
      </c>
      <c r="J17" s="24">
        <v>0.56597222222222221</v>
      </c>
      <c r="K17" s="13">
        <v>1.6</v>
      </c>
      <c r="L17" s="27">
        <f>K17/AVERAGE($K$4:$K$9)</f>
        <v>5.1914341336794295E-3</v>
      </c>
      <c r="T17" s="13" t="s">
        <v>275</v>
      </c>
      <c r="U17" s="13">
        <f t="shared" si="1"/>
        <v>59.999999999999943</v>
      </c>
      <c r="V17" s="24">
        <v>0.75208333333333333</v>
      </c>
      <c r="W17" s="13">
        <v>0.5</v>
      </c>
      <c r="X17" s="27">
        <f>W17/AVERAGE(W4:W7)</f>
        <v>5.2056220718375837E-3</v>
      </c>
    </row>
    <row r="18" spans="2:24" x14ac:dyDescent="0.2">
      <c r="B18" s="13" t="s">
        <v>277</v>
      </c>
      <c r="C18" s="13">
        <f t="shared" si="2"/>
        <v>70.000000000000071</v>
      </c>
      <c r="D18" s="24">
        <v>0.67361111111111116</v>
      </c>
      <c r="E18" s="13">
        <v>1.2250000000000001</v>
      </c>
      <c r="F18" s="27">
        <f>E18/AVERAGE(E4:E8)</f>
        <v>4.65072133637054E-3</v>
      </c>
      <c r="H18" s="35" t="s">
        <v>276</v>
      </c>
      <c r="I18" s="35">
        <f t="shared" si="0"/>
        <v>101.99999999999996</v>
      </c>
      <c r="J18" s="26">
        <v>0.57708333333333328</v>
      </c>
      <c r="K18" s="35">
        <v>1.7</v>
      </c>
      <c r="L18" s="44">
        <f>K18/AVERAGE($K$4:$K$9)</f>
        <v>5.5158987670343934E-3</v>
      </c>
      <c r="T18" s="13" t="s">
        <v>278</v>
      </c>
      <c r="U18" s="13">
        <f t="shared" si="1"/>
        <v>72.999999999999901</v>
      </c>
      <c r="V18" s="24">
        <v>0.76111111111111107</v>
      </c>
      <c r="W18" s="13">
        <v>0.6</v>
      </c>
      <c r="X18" s="27">
        <f>W18/AVERAGE(W4:W7)</f>
        <v>6.2467464862051006E-3</v>
      </c>
    </row>
    <row r="19" spans="2:24" x14ac:dyDescent="0.2">
      <c r="B19" s="13" t="s">
        <v>279</v>
      </c>
      <c r="C19" s="13">
        <f t="shared" si="2"/>
        <v>86.000000000000014</v>
      </c>
      <c r="D19" s="24">
        <v>0.68472222222222223</v>
      </c>
      <c r="E19" s="13">
        <v>1.425</v>
      </c>
      <c r="F19" s="27">
        <f>E19/AVERAGE(E4:E9)</f>
        <v>5.9124541871239892E-3</v>
      </c>
      <c r="T19" s="13" t="s">
        <v>280</v>
      </c>
      <c r="U19" s="13">
        <f t="shared" si="1"/>
        <v>83.000000000000028</v>
      </c>
      <c r="V19" s="24">
        <v>0.7680555555555556</v>
      </c>
      <c r="W19" s="13">
        <v>0.55000000000000004</v>
      </c>
      <c r="X19" s="27">
        <f>W19/AVERAGE(W4:W7)</f>
        <v>5.726184279021343E-3</v>
      </c>
    </row>
    <row r="20" spans="2:24" x14ac:dyDescent="0.2">
      <c r="B20" s="35" t="s">
        <v>281</v>
      </c>
      <c r="C20" s="35">
        <f t="shared" si="2"/>
        <v>87.999999999999844</v>
      </c>
      <c r="D20" s="26">
        <v>0.68611111111111101</v>
      </c>
      <c r="E20" s="35">
        <v>2.0499999999999998</v>
      </c>
      <c r="F20" s="44">
        <f>E20/AVERAGE(E4:E9)</f>
        <v>8.5056358481432823E-3</v>
      </c>
      <c r="T20" s="35" t="s">
        <v>282</v>
      </c>
      <c r="U20" s="35">
        <f t="shared" si="1"/>
        <v>93.999999999999986</v>
      </c>
      <c r="V20" s="26">
        <v>0.77569444444444446</v>
      </c>
      <c r="W20" s="35">
        <v>0.77500000000000002</v>
      </c>
      <c r="X20" s="44">
        <f>W20/AVERAGE(W4:W7)</f>
        <v>8.068714211348256E-3</v>
      </c>
    </row>
    <row r="21" spans="2:24" x14ac:dyDescent="0.2">
      <c r="B21" s="35" t="s">
        <v>283</v>
      </c>
      <c r="C21" s="35">
        <f t="shared" si="2"/>
        <v>98.999999999999972</v>
      </c>
      <c r="D21" s="26">
        <v>0.69374999999999998</v>
      </c>
      <c r="E21" s="35">
        <v>2.75</v>
      </c>
      <c r="F21" s="44">
        <f>E21/AVERAGE(E4:E9)</f>
        <v>1.1409999308484891E-2</v>
      </c>
      <c r="X21" s="27"/>
    </row>
    <row r="22" spans="2:24" x14ac:dyDescent="0.2">
      <c r="B22" s="35" t="s">
        <v>284</v>
      </c>
      <c r="C22" s="35">
        <f t="shared" si="2"/>
        <v>113.99999999999991</v>
      </c>
      <c r="D22" s="26">
        <v>0.70416666666666661</v>
      </c>
      <c r="E22" s="35">
        <v>3.45</v>
      </c>
      <c r="F22" s="44">
        <f>E22/AVERAGE(E4:E10)</f>
        <v>1.4256198347107439E-2</v>
      </c>
    </row>
    <row r="23" spans="2:24" x14ac:dyDescent="0.2">
      <c r="B23" s="35" t="s">
        <v>285</v>
      </c>
      <c r="C23" s="35">
        <f t="shared" si="2"/>
        <v>149.99999999999994</v>
      </c>
      <c r="D23" s="26">
        <v>0.72916666666666663</v>
      </c>
      <c r="E23" s="35">
        <v>2.85</v>
      </c>
      <c r="F23" s="44">
        <f>E23/AVERAGE(E4:E11)</f>
        <v>1.1575954508529652E-2</v>
      </c>
    </row>
    <row r="24" spans="2:24" x14ac:dyDescent="0.2">
      <c r="B24" s="35" t="s">
        <v>286</v>
      </c>
      <c r="C24" s="35">
        <f t="shared" si="2"/>
        <v>180</v>
      </c>
      <c r="D24" s="26">
        <v>0.75</v>
      </c>
      <c r="E24" s="35">
        <v>2.5750000000000002</v>
      </c>
      <c r="F24" s="44">
        <f>E24/AVERAGE(E4:E11)</f>
        <v>1.0458976441917142E-2</v>
      </c>
    </row>
  </sheetData>
  <mergeCells count="4">
    <mergeCell ref="N2:R2"/>
    <mergeCell ref="H2:L2"/>
    <mergeCell ref="B2:F2"/>
    <mergeCell ref="T2:X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DF602-719B-0644-BC34-03813599B925}">
  <dimension ref="A1:Y63"/>
  <sheetViews>
    <sheetView zoomScale="125" workbookViewId="0">
      <pane ySplit="1" topLeftCell="A15" activePane="bottomLeft" state="frozen"/>
      <selection pane="bottomLeft" activeCell="T18" sqref="T18"/>
    </sheetView>
  </sheetViews>
  <sheetFormatPr baseColWidth="10" defaultRowHeight="16" x14ac:dyDescent="0.2"/>
  <sheetData>
    <row r="1" spans="1:25" s="2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M1" s="2" t="s">
        <v>11</v>
      </c>
      <c r="N1" s="2" t="s">
        <v>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U1" s="2" t="s">
        <v>17</v>
      </c>
      <c r="V1" s="2" t="s">
        <v>18</v>
      </c>
      <c r="W1" s="2" t="s">
        <v>19</v>
      </c>
    </row>
    <row r="2" spans="1:25" x14ac:dyDescent="0.2">
      <c r="A2">
        <v>1</v>
      </c>
      <c r="C2" t="s">
        <v>20</v>
      </c>
      <c r="D2">
        <v>19</v>
      </c>
      <c r="E2">
        <v>18</v>
      </c>
      <c r="F2">
        <v>21</v>
      </c>
      <c r="I2">
        <v>669.15</v>
      </c>
      <c r="J2">
        <v>397.41</v>
      </c>
      <c r="M2">
        <v>31</v>
      </c>
      <c r="N2" t="s">
        <v>21</v>
      </c>
      <c r="O2" s="3">
        <v>5.4143646408839778</v>
      </c>
      <c r="P2">
        <v>19.3</v>
      </c>
      <c r="Q2" s="3">
        <v>6</v>
      </c>
      <c r="R2">
        <v>1.2</v>
      </c>
      <c r="S2" s="3">
        <v>64770</v>
      </c>
      <c r="U2" s="4">
        <f>O2/P2</f>
        <v>0.28053702802507657</v>
      </c>
      <c r="V2" s="4">
        <f>Q2/P2</f>
        <v>0.31088082901554404</v>
      </c>
      <c r="W2" s="5">
        <f>P2/64770</f>
        <v>2.9797745870001547E-4</v>
      </c>
    </row>
    <row r="3" spans="1:25" x14ac:dyDescent="0.2">
      <c r="A3">
        <v>2</v>
      </c>
      <c r="C3" t="s">
        <v>22</v>
      </c>
      <c r="D3">
        <v>24</v>
      </c>
      <c r="E3">
        <v>23</v>
      </c>
      <c r="F3">
        <v>26</v>
      </c>
      <c r="I3">
        <v>645.29</v>
      </c>
      <c r="J3">
        <v>405.63</v>
      </c>
      <c r="M3">
        <v>45</v>
      </c>
      <c r="N3" t="s">
        <v>23</v>
      </c>
      <c r="O3" s="3">
        <v>6.4779874213836477</v>
      </c>
      <c r="P3">
        <v>20.2</v>
      </c>
      <c r="Q3" s="3">
        <v>6.384615384615385</v>
      </c>
      <c r="R3">
        <v>2.7</v>
      </c>
      <c r="U3" s="4">
        <f t="shared" ref="U3:U10" si="0">O3/P3</f>
        <v>0.32069244660315088</v>
      </c>
      <c r="V3" s="4">
        <f t="shared" ref="V3:V10" si="1">Q3/P3</f>
        <v>0.31607006854531611</v>
      </c>
      <c r="W3" s="5">
        <f t="shared" ref="W3:W10" si="2">P3/64770</f>
        <v>3.1187278060830628E-4</v>
      </c>
    </row>
    <row r="4" spans="1:25" x14ac:dyDescent="0.2">
      <c r="A4">
        <v>3</v>
      </c>
      <c r="C4" t="s">
        <v>24</v>
      </c>
      <c r="D4">
        <v>18</v>
      </c>
      <c r="E4">
        <v>17</v>
      </c>
      <c r="F4">
        <v>19</v>
      </c>
      <c r="I4">
        <v>536.42999999999995</v>
      </c>
      <c r="J4">
        <v>423.89</v>
      </c>
      <c r="M4">
        <v>56</v>
      </c>
      <c r="N4" t="s">
        <v>25</v>
      </c>
      <c r="O4" s="3">
        <v>6.1739130434782608</v>
      </c>
      <c r="P4">
        <v>16.3</v>
      </c>
      <c r="Q4" s="3">
        <v>6.7032967032967035</v>
      </c>
      <c r="R4">
        <v>1.6</v>
      </c>
      <c r="U4" s="4">
        <f t="shared" si="0"/>
        <v>0.37876767137903439</v>
      </c>
      <c r="V4" s="4">
        <f t="shared" si="1"/>
        <v>0.41124519652127012</v>
      </c>
      <c r="W4" s="5">
        <f t="shared" si="2"/>
        <v>2.5165971900571255E-4</v>
      </c>
    </row>
    <row r="5" spans="1:25" x14ac:dyDescent="0.2">
      <c r="A5" t="s">
        <v>26</v>
      </c>
      <c r="M5">
        <v>66</v>
      </c>
      <c r="N5" t="s">
        <v>27</v>
      </c>
      <c r="O5" s="3">
        <v>6.4024390243902447</v>
      </c>
      <c r="P5">
        <v>21.9</v>
      </c>
      <c r="Q5" s="3">
        <v>7.5</v>
      </c>
      <c r="R5">
        <v>4.3</v>
      </c>
      <c r="U5" s="4">
        <f t="shared" si="0"/>
        <v>0.29234881389909795</v>
      </c>
      <c r="V5" s="4">
        <f t="shared" si="1"/>
        <v>0.34246575342465757</v>
      </c>
      <c r="W5" s="5">
        <f t="shared" si="2"/>
        <v>3.3811949976841129E-4</v>
      </c>
    </row>
    <row r="6" spans="1:25" x14ac:dyDescent="0.2">
      <c r="A6">
        <v>5</v>
      </c>
      <c r="B6" t="s">
        <v>21</v>
      </c>
      <c r="C6" t="s">
        <v>13</v>
      </c>
      <c r="D6">
        <v>202</v>
      </c>
      <c r="E6">
        <v>196</v>
      </c>
      <c r="F6">
        <v>214</v>
      </c>
      <c r="G6">
        <f>F6-21</f>
        <v>193</v>
      </c>
      <c r="H6">
        <v>10</v>
      </c>
      <c r="I6">
        <v>113.48</v>
      </c>
      <c r="J6">
        <v>433.72</v>
      </c>
      <c r="K6">
        <f>G6/H6</f>
        <v>19.3</v>
      </c>
      <c r="M6">
        <v>78</v>
      </c>
      <c r="N6" t="s">
        <v>28</v>
      </c>
      <c r="Q6" s="3"/>
      <c r="R6">
        <v>2.2000000000000002</v>
      </c>
      <c r="U6" s="4"/>
      <c r="V6" s="4"/>
      <c r="W6" s="5">
        <f t="shared" si="2"/>
        <v>0</v>
      </c>
    </row>
    <row r="7" spans="1:25" x14ac:dyDescent="0.2">
      <c r="A7">
        <v>6</v>
      </c>
      <c r="B7" t="s">
        <v>23</v>
      </c>
      <c r="C7" t="s">
        <v>13</v>
      </c>
      <c r="D7">
        <v>210</v>
      </c>
      <c r="E7">
        <v>206</v>
      </c>
      <c r="F7">
        <v>223</v>
      </c>
      <c r="G7">
        <f t="shared" ref="G7:G13" si="3">F7-21</f>
        <v>202</v>
      </c>
      <c r="H7">
        <v>10</v>
      </c>
      <c r="I7">
        <v>132.43</v>
      </c>
      <c r="J7">
        <v>432.39</v>
      </c>
      <c r="K7">
        <f t="shared" ref="K7:K63" si="4">G7/H7</f>
        <v>20.2</v>
      </c>
      <c r="M7">
        <v>88</v>
      </c>
      <c r="N7" t="s">
        <v>29</v>
      </c>
      <c r="O7" s="3">
        <v>7.1065989847715736</v>
      </c>
      <c r="P7">
        <v>17.7</v>
      </c>
      <c r="Q7" s="3">
        <v>4.4680851063829783</v>
      </c>
      <c r="R7">
        <v>7.5</v>
      </c>
      <c r="U7" s="4">
        <f t="shared" si="0"/>
        <v>0.40150276750121888</v>
      </c>
      <c r="V7" s="4">
        <f t="shared" si="1"/>
        <v>0.2524341868012982</v>
      </c>
      <c r="W7" s="5">
        <f t="shared" si="2"/>
        <v>2.7327466419638718E-4</v>
      </c>
    </row>
    <row r="8" spans="1:25" x14ac:dyDescent="0.2">
      <c r="A8">
        <v>7</v>
      </c>
      <c r="B8" t="s">
        <v>25</v>
      </c>
      <c r="C8" t="s">
        <v>13</v>
      </c>
      <c r="D8">
        <v>173</v>
      </c>
      <c r="E8">
        <v>170</v>
      </c>
      <c r="F8">
        <v>184</v>
      </c>
      <c r="G8">
        <f t="shared" si="3"/>
        <v>163</v>
      </c>
      <c r="H8">
        <v>10</v>
      </c>
      <c r="I8">
        <v>140.69</v>
      </c>
      <c r="J8">
        <v>429.68</v>
      </c>
      <c r="K8">
        <f t="shared" si="4"/>
        <v>16.3</v>
      </c>
      <c r="M8" s="6">
        <v>100</v>
      </c>
      <c r="N8" t="s">
        <v>30</v>
      </c>
      <c r="O8" s="3">
        <v>8.0681818181818183</v>
      </c>
      <c r="P8">
        <v>18.100000000000001</v>
      </c>
      <c r="Q8" s="3">
        <v>6.71875</v>
      </c>
      <c r="R8">
        <v>3.9</v>
      </c>
      <c r="U8" s="4">
        <f t="shared" si="0"/>
        <v>0.44575590155700651</v>
      </c>
      <c r="V8" s="4">
        <f t="shared" si="1"/>
        <v>0.37120165745856348</v>
      </c>
      <c r="W8" s="5">
        <f t="shared" si="2"/>
        <v>2.7945036282229428E-4</v>
      </c>
    </row>
    <row r="9" spans="1:25" x14ac:dyDescent="0.2">
      <c r="A9">
        <v>8</v>
      </c>
      <c r="B9" t="s">
        <v>27</v>
      </c>
      <c r="C9" t="s">
        <v>13</v>
      </c>
      <c r="D9">
        <v>226</v>
      </c>
      <c r="E9">
        <v>222</v>
      </c>
      <c r="F9">
        <v>240</v>
      </c>
      <c r="G9">
        <f t="shared" si="3"/>
        <v>219</v>
      </c>
      <c r="H9">
        <v>10</v>
      </c>
      <c r="I9">
        <v>156.53</v>
      </c>
      <c r="J9">
        <v>424.4</v>
      </c>
      <c r="K9">
        <f t="shared" si="4"/>
        <v>21.9</v>
      </c>
      <c r="M9" s="6">
        <v>110</v>
      </c>
      <c r="N9" t="s">
        <v>31</v>
      </c>
      <c r="O9" s="3">
        <v>8.5806451612903221</v>
      </c>
      <c r="P9">
        <v>19.100000000000001</v>
      </c>
      <c r="Q9" s="3">
        <v>7.515923566878981</v>
      </c>
      <c r="R9">
        <v>3.2</v>
      </c>
      <c r="U9" s="4">
        <f t="shared" si="0"/>
        <v>0.44924843776389117</v>
      </c>
      <c r="V9" s="4">
        <f t="shared" si="1"/>
        <v>0.39350385166905655</v>
      </c>
      <c r="W9" s="5">
        <f t="shared" si="2"/>
        <v>2.9488960938706192E-4</v>
      </c>
    </row>
    <row r="10" spans="1:25" x14ac:dyDescent="0.2">
      <c r="A10">
        <v>9</v>
      </c>
      <c r="B10" t="s">
        <v>29</v>
      </c>
      <c r="C10" t="s">
        <v>13</v>
      </c>
      <c r="D10">
        <v>186</v>
      </c>
      <c r="E10">
        <v>183</v>
      </c>
      <c r="F10">
        <v>198</v>
      </c>
      <c r="G10">
        <f t="shared" si="3"/>
        <v>177</v>
      </c>
      <c r="H10">
        <v>10</v>
      </c>
      <c r="I10">
        <v>124.56</v>
      </c>
      <c r="J10">
        <v>427.63</v>
      </c>
      <c r="K10">
        <f t="shared" si="4"/>
        <v>17.7</v>
      </c>
      <c r="M10" s="6">
        <v>138</v>
      </c>
      <c r="N10" t="s">
        <v>32</v>
      </c>
      <c r="O10" s="3">
        <v>8.4313725490196081</v>
      </c>
      <c r="P10">
        <v>17.8</v>
      </c>
      <c r="Q10" s="3">
        <v>7.3493975903614448</v>
      </c>
      <c r="U10" s="4">
        <f t="shared" si="0"/>
        <v>0.47367261511346109</v>
      </c>
      <c r="V10" s="4">
        <f t="shared" si="1"/>
        <v>0.41288750507648564</v>
      </c>
      <c r="W10" s="5">
        <f t="shared" si="2"/>
        <v>2.7481858885286401E-4</v>
      </c>
    </row>
    <row r="11" spans="1:25" x14ac:dyDescent="0.2">
      <c r="A11">
        <v>10</v>
      </c>
      <c r="B11" t="s">
        <v>30</v>
      </c>
      <c r="C11" t="s">
        <v>13</v>
      </c>
      <c r="D11">
        <v>191</v>
      </c>
      <c r="E11">
        <v>186</v>
      </c>
      <c r="F11">
        <v>202</v>
      </c>
      <c r="G11">
        <f t="shared" si="3"/>
        <v>181</v>
      </c>
      <c r="H11">
        <v>10</v>
      </c>
      <c r="I11">
        <v>128.44</v>
      </c>
      <c r="J11">
        <v>429.61</v>
      </c>
      <c r="K11">
        <f t="shared" si="4"/>
        <v>18.100000000000001</v>
      </c>
    </row>
    <row r="12" spans="1:25" x14ac:dyDescent="0.2">
      <c r="A12">
        <v>11</v>
      </c>
      <c r="B12" t="s">
        <v>31</v>
      </c>
      <c r="C12" t="s">
        <v>13</v>
      </c>
      <c r="D12">
        <v>200</v>
      </c>
      <c r="E12">
        <v>195</v>
      </c>
      <c r="F12">
        <v>212</v>
      </c>
      <c r="G12">
        <f t="shared" si="3"/>
        <v>191</v>
      </c>
      <c r="H12">
        <v>10</v>
      </c>
      <c r="I12">
        <v>180.93</v>
      </c>
      <c r="J12">
        <v>427.62</v>
      </c>
      <c r="K12">
        <f t="shared" si="4"/>
        <v>19.100000000000001</v>
      </c>
      <c r="N12" s="7" t="s">
        <v>33</v>
      </c>
      <c r="O12" s="8">
        <f t="shared" ref="O12:R12" si="5">AVERAGE(O2:O10)</f>
        <v>7.0819378304249314</v>
      </c>
      <c r="P12" s="8">
        <f t="shared" si="5"/>
        <v>18.8</v>
      </c>
      <c r="Q12" s="8">
        <f t="shared" si="5"/>
        <v>6.5800085439419362</v>
      </c>
      <c r="R12" s="8">
        <f t="shared" si="5"/>
        <v>3.3249999999999997</v>
      </c>
      <c r="S12" s="7"/>
      <c r="T12" s="9"/>
      <c r="U12" s="9">
        <f>AVERAGE(U2:U10)</f>
        <v>0.38031571023024219</v>
      </c>
      <c r="V12" s="9">
        <f t="shared" ref="V12:W12" si="6">AVERAGE(V2:V10)</f>
        <v>0.35133613106402395</v>
      </c>
      <c r="W12" s="9">
        <f t="shared" si="6"/>
        <v>2.5800696481567258E-4</v>
      </c>
    </row>
    <row r="13" spans="1:25" x14ac:dyDescent="0.2">
      <c r="A13">
        <v>12</v>
      </c>
      <c r="B13" t="s">
        <v>32</v>
      </c>
      <c r="C13" t="s">
        <v>13</v>
      </c>
      <c r="D13">
        <v>187</v>
      </c>
      <c r="E13">
        <v>183</v>
      </c>
      <c r="F13">
        <v>199</v>
      </c>
      <c r="G13">
        <f t="shared" si="3"/>
        <v>178</v>
      </c>
      <c r="H13">
        <v>10</v>
      </c>
      <c r="I13">
        <v>165.45</v>
      </c>
      <c r="J13">
        <v>431.84</v>
      </c>
      <c r="K13">
        <f t="shared" si="4"/>
        <v>17.8</v>
      </c>
    </row>
    <row r="14" spans="1:25" x14ac:dyDescent="0.2">
      <c r="A14" t="s">
        <v>34</v>
      </c>
      <c r="X14" s="2"/>
    </row>
    <row r="15" spans="1:25" x14ac:dyDescent="0.2">
      <c r="A15">
        <v>14</v>
      </c>
      <c r="B15" t="s">
        <v>21</v>
      </c>
      <c r="C15" t="s">
        <v>14</v>
      </c>
      <c r="D15">
        <v>84</v>
      </c>
      <c r="E15">
        <v>83</v>
      </c>
      <c r="F15">
        <v>89</v>
      </c>
      <c r="G15">
        <f>F15-23</f>
        <v>66</v>
      </c>
      <c r="H15">
        <v>11</v>
      </c>
      <c r="I15">
        <v>272.86</v>
      </c>
      <c r="J15">
        <v>431.88</v>
      </c>
      <c r="K15" s="3">
        <f t="shared" si="4"/>
        <v>6</v>
      </c>
      <c r="M15">
        <v>35</v>
      </c>
      <c r="N15" t="s">
        <v>36</v>
      </c>
      <c r="P15">
        <v>157.6</v>
      </c>
      <c r="U15" s="4"/>
      <c r="V15" s="4"/>
      <c r="X15" s="4"/>
      <c r="Y15" s="4"/>
    </row>
    <row r="16" spans="1:25" x14ac:dyDescent="0.2">
      <c r="A16">
        <v>15</v>
      </c>
      <c r="B16" t="s">
        <v>23</v>
      </c>
      <c r="C16" t="s">
        <v>14</v>
      </c>
      <c r="D16">
        <v>100</v>
      </c>
      <c r="E16">
        <v>98</v>
      </c>
      <c r="F16">
        <v>106</v>
      </c>
      <c r="G16">
        <f t="shared" ref="G16:G22" si="7">F16-23</f>
        <v>83</v>
      </c>
      <c r="H16">
        <v>13</v>
      </c>
      <c r="I16">
        <v>148.28</v>
      </c>
      <c r="J16">
        <v>430.23</v>
      </c>
      <c r="K16" s="3">
        <f t="shared" si="4"/>
        <v>6.384615384615385</v>
      </c>
      <c r="M16">
        <v>44</v>
      </c>
      <c r="P16">
        <v>132.4</v>
      </c>
      <c r="X16" s="4"/>
      <c r="Y16" s="4"/>
    </row>
    <row r="17" spans="1:25" x14ac:dyDescent="0.2">
      <c r="A17">
        <v>16</v>
      </c>
      <c r="B17" t="s">
        <v>25</v>
      </c>
      <c r="C17" t="s">
        <v>14</v>
      </c>
      <c r="D17">
        <v>137</v>
      </c>
      <c r="E17">
        <v>134</v>
      </c>
      <c r="F17">
        <v>145</v>
      </c>
      <c r="G17">
        <f t="shared" si="7"/>
        <v>122</v>
      </c>
      <c r="H17">
        <v>18.2</v>
      </c>
      <c r="I17">
        <v>191.98</v>
      </c>
      <c r="J17">
        <v>427.98</v>
      </c>
      <c r="K17" s="3">
        <f t="shared" si="4"/>
        <v>6.7032967032967035</v>
      </c>
      <c r="M17">
        <v>55</v>
      </c>
      <c r="P17">
        <v>109.3</v>
      </c>
      <c r="X17" s="4"/>
      <c r="Y17" s="4"/>
    </row>
    <row r="18" spans="1:25" x14ac:dyDescent="0.2">
      <c r="A18">
        <v>17</v>
      </c>
      <c r="B18" t="s">
        <v>27</v>
      </c>
      <c r="C18" t="s">
        <v>14</v>
      </c>
      <c r="D18">
        <v>121</v>
      </c>
      <c r="E18">
        <v>118</v>
      </c>
      <c r="F18">
        <v>128</v>
      </c>
      <c r="G18">
        <f t="shared" si="7"/>
        <v>105</v>
      </c>
      <c r="H18">
        <v>14</v>
      </c>
      <c r="I18">
        <v>191.57</v>
      </c>
      <c r="J18">
        <v>434.41</v>
      </c>
      <c r="K18" s="3">
        <f t="shared" si="4"/>
        <v>7.5</v>
      </c>
      <c r="M18">
        <v>63</v>
      </c>
      <c r="P18">
        <v>93.3</v>
      </c>
      <c r="X18" s="4"/>
      <c r="Y18" s="4"/>
    </row>
    <row r="19" spans="1:25" x14ac:dyDescent="0.2">
      <c r="A19">
        <v>18</v>
      </c>
      <c r="B19" t="s">
        <v>29</v>
      </c>
      <c r="C19" t="s">
        <v>14</v>
      </c>
      <c r="D19">
        <v>42</v>
      </c>
      <c r="E19">
        <v>40</v>
      </c>
      <c r="F19">
        <v>44</v>
      </c>
      <c r="G19">
        <f t="shared" si="7"/>
        <v>21</v>
      </c>
      <c r="H19">
        <v>4.7</v>
      </c>
      <c r="I19">
        <v>375.98</v>
      </c>
      <c r="J19">
        <v>438.86</v>
      </c>
      <c r="K19" s="3">
        <f t="shared" si="4"/>
        <v>4.4680851063829783</v>
      </c>
      <c r="M19">
        <v>73</v>
      </c>
      <c r="P19">
        <v>82.3</v>
      </c>
      <c r="X19" s="4"/>
      <c r="Y19" s="4"/>
    </row>
    <row r="20" spans="1:25" x14ac:dyDescent="0.2">
      <c r="A20">
        <v>19</v>
      </c>
      <c r="B20" t="s">
        <v>30</v>
      </c>
      <c r="C20" t="s">
        <v>14</v>
      </c>
      <c r="D20">
        <v>103</v>
      </c>
      <c r="E20">
        <v>100</v>
      </c>
      <c r="F20">
        <v>109</v>
      </c>
      <c r="G20">
        <f t="shared" si="7"/>
        <v>86</v>
      </c>
      <c r="H20">
        <v>12.8</v>
      </c>
      <c r="I20">
        <v>247.32</v>
      </c>
      <c r="J20">
        <v>437.34</v>
      </c>
      <c r="K20" s="3">
        <f t="shared" si="4"/>
        <v>6.71875</v>
      </c>
      <c r="M20">
        <v>87</v>
      </c>
      <c r="P20">
        <v>63.7</v>
      </c>
      <c r="X20" s="4"/>
      <c r="Y20" s="4"/>
    </row>
    <row r="21" spans="1:25" x14ac:dyDescent="0.2">
      <c r="A21">
        <v>20</v>
      </c>
      <c r="B21" t="s">
        <v>31</v>
      </c>
      <c r="C21" t="s">
        <v>14</v>
      </c>
      <c r="D21">
        <v>133</v>
      </c>
      <c r="E21">
        <v>130</v>
      </c>
      <c r="F21">
        <v>141</v>
      </c>
      <c r="G21">
        <f t="shared" si="7"/>
        <v>118</v>
      </c>
      <c r="H21">
        <v>15.7</v>
      </c>
      <c r="I21">
        <v>188.63</v>
      </c>
      <c r="J21">
        <v>428.41</v>
      </c>
      <c r="K21" s="3">
        <f t="shared" si="4"/>
        <v>7.515923566878981</v>
      </c>
      <c r="M21">
        <v>98</v>
      </c>
      <c r="P21">
        <v>61.8</v>
      </c>
      <c r="X21" s="4"/>
      <c r="Y21" s="4"/>
    </row>
    <row r="22" spans="1:25" x14ac:dyDescent="0.2">
      <c r="A22">
        <v>21</v>
      </c>
      <c r="B22" t="s">
        <v>32</v>
      </c>
      <c r="C22" t="s">
        <v>14</v>
      </c>
      <c r="D22">
        <v>136</v>
      </c>
      <c r="E22">
        <v>133</v>
      </c>
      <c r="F22">
        <v>145</v>
      </c>
      <c r="G22">
        <f t="shared" si="7"/>
        <v>122</v>
      </c>
      <c r="H22">
        <v>16.600000000000001</v>
      </c>
      <c r="I22">
        <v>193.64</v>
      </c>
      <c r="J22">
        <v>426.62</v>
      </c>
      <c r="K22" s="3">
        <f t="shared" si="4"/>
        <v>7.3493975903614448</v>
      </c>
      <c r="M22">
        <v>113</v>
      </c>
      <c r="P22" s="3">
        <v>39</v>
      </c>
      <c r="X22" s="4"/>
      <c r="Y22" s="4"/>
    </row>
    <row r="23" spans="1:25" x14ac:dyDescent="0.2">
      <c r="A23" t="s">
        <v>37</v>
      </c>
      <c r="M23">
        <v>140</v>
      </c>
      <c r="O23" s="3">
        <v>8.5844748858447488</v>
      </c>
      <c r="P23">
        <v>48.9</v>
      </c>
      <c r="Q23">
        <v>5.2952755905511815</v>
      </c>
      <c r="X23" s="4"/>
      <c r="Y23" s="4"/>
    </row>
    <row r="24" spans="1:25" x14ac:dyDescent="0.2">
      <c r="A24">
        <v>23</v>
      </c>
      <c r="B24" t="s">
        <v>21</v>
      </c>
      <c r="C24" t="s">
        <v>15</v>
      </c>
      <c r="D24">
        <v>29</v>
      </c>
      <c r="E24">
        <v>28</v>
      </c>
      <c r="F24">
        <v>31</v>
      </c>
      <c r="G24">
        <f>F24-19</f>
        <v>12</v>
      </c>
      <c r="H24">
        <v>10</v>
      </c>
      <c r="I24">
        <v>443.75</v>
      </c>
      <c r="J24">
        <v>436.59</v>
      </c>
      <c r="K24">
        <f t="shared" si="4"/>
        <v>1.2</v>
      </c>
    </row>
    <row r="25" spans="1:25" x14ac:dyDescent="0.2">
      <c r="A25">
        <v>24</v>
      </c>
      <c r="B25" t="s">
        <v>23</v>
      </c>
      <c r="C25" t="s">
        <v>15</v>
      </c>
      <c r="D25">
        <v>44</v>
      </c>
      <c r="E25">
        <v>42</v>
      </c>
      <c r="F25">
        <v>46</v>
      </c>
      <c r="G25">
        <f t="shared" ref="G25:G31" si="8">F25-19</f>
        <v>27</v>
      </c>
      <c r="H25">
        <v>10</v>
      </c>
      <c r="I25">
        <v>446.14</v>
      </c>
      <c r="J25">
        <v>432.78</v>
      </c>
      <c r="K25">
        <f t="shared" si="4"/>
        <v>2.7</v>
      </c>
      <c r="X25" s="10"/>
    </row>
    <row r="26" spans="1:25" x14ac:dyDescent="0.2">
      <c r="A26">
        <v>25</v>
      </c>
      <c r="B26" t="s">
        <v>25</v>
      </c>
      <c r="C26" t="s">
        <v>15</v>
      </c>
      <c r="D26">
        <v>33</v>
      </c>
      <c r="E26">
        <v>32</v>
      </c>
      <c r="F26">
        <v>35</v>
      </c>
      <c r="G26">
        <f t="shared" si="8"/>
        <v>16</v>
      </c>
      <c r="H26">
        <v>10</v>
      </c>
      <c r="I26">
        <v>394.38</v>
      </c>
      <c r="J26">
        <v>431.41</v>
      </c>
      <c r="K26">
        <f t="shared" si="4"/>
        <v>1.6</v>
      </c>
      <c r="X26" s="10"/>
    </row>
    <row r="27" spans="1:25" x14ac:dyDescent="0.2">
      <c r="A27">
        <v>26</v>
      </c>
      <c r="B27" t="s">
        <v>27</v>
      </c>
      <c r="C27" t="s">
        <v>15</v>
      </c>
      <c r="D27">
        <v>58</v>
      </c>
      <c r="E27">
        <v>56</v>
      </c>
      <c r="F27">
        <v>62</v>
      </c>
      <c r="G27">
        <f t="shared" si="8"/>
        <v>43</v>
      </c>
      <c r="H27">
        <v>10</v>
      </c>
      <c r="I27">
        <v>307.75</v>
      </c>
      <c r="J27">
        <v>431.49</v>
      </c>
      <c r="K27">
        <f t="shared" si="4"/>
        <v>4.3</v>
      </c>
    </row>
    <row r="28" spans="1:25" x14ac:dyDescent="0.2">
      <c r="A28">
        <v>27</v>
      </c>
      <c r="B28" t="s">
        <v>28</v>
      </c>
      <c r="C28" t="s">
        <v>15</v>
      </c>
      <c r="D28">
        <v>38</v>
      </c>
      <c r="E28">
        <v>37</v>
      </c>
      <c r="F28">
        <v>41</v>
      </c>
      <c r="G28">
        <f t="shared" si="8"/>
        <v>22</v>
      </c>
      <c r="H28">
        <v>10</v>
      </c>
      <c r="I28">
        <v>373.79</v>
      </c>
      <c r="J28">
        <v>434.2</v>
      </c>
      <c r="K28">
        <f t="shared" si="4"/>
        <v>2.2000000000000002</v>
      </c>
    </row>
    <row r="29" spans="1:25" x14ac:dyDescent="0.2">
      <c r="A29">
        <v>28</v>
      </c>
      <c r="B29" t="s">
        <v>29</v>
      </c>
      <c r="C29" t="s">
        <v>15</v>
      </c>
      <c r="D29">
        <v>89</v>
      </c>
      <c r="E29">
        <v>83</v>
      </c>
      <c r="F29">
        <v>94</v>
      </c>
      <c r="G29">
        <f t="shared" si="8"/>
        <v>75</v>
      </c>
      <c r="H29">
        <v>10</v>
      </c>
      <c r="I29">
        <v>208.67</v>
      </c>
      <c r="J29">
        <v>433.11</v>
      </c>
      <c r="K29">
        <f t="shared" si="4"/>
        <v>7.5</v>
      </c>
    </row>
    <row r="30" spans="1:25" x14ac:dyDescent="0.2">
      <c r="A30">
        <v>29</v>
      </c>
      <c r="B30" t="s">
        <v>30</v>
      </c>
      <c r="C30" t="s">
        <v>15</v>
      </c>
      <c r="D30">
        <v>55</v>
      </c>
      <c r="E30">
        <v>53</v>
      </c>
      <c r="F30">
        <v>58</v>
      </c>
      <c r="G30">
        <f t="shared" si="8"/>
        <v>39</v>
      </c>
      <c r="H30">
        <v>10</v>
      </c>
      <c r="I30">
        <v>279.94</v>
      </c>
      <c r="J30">
        <v>434.57</v>
      </c>
      <c r="K30">
        <f t="shared" si="4"/>
        <v>3.9</v>
      </c>
    </row>
    <row r="31" spans="1:25" x14ac:dyDescent="0.2">
      <c r="A31">
        <v>30</v>
      </c>
      <c r="B31" t="s">
        <v>31</v>
      </c>
      <c r="C31" t="s">
        <v>15</v>
      </c>
      <c r="D31">
        <v>48</v>
      </c>
      <c r="E31">
        <v>47</v>
      </c>
      <c r="F31">
        <v>51</v>
      </c>
      <c r="G31">
        <f t="shared" si="8"/>
        <v>32</v>
      </c>
      <c r="H31">
        <v>10</v>
      </c>
      <c r="I31">
        <v>404.4</v>
      </c>
      <c r="J31">
        <v>434.47</v>
      </c>
      <c r="K31">
        <f t="shared" si="4"/>
        <v>3.2</v>
      </c>
    </row>
    <row r="32" spans="1:25" x14ac:dyDescent="0.2">
      <c r="A32" t="s">
        <v>38</v>
      </c>
    </row>
    <row r="33" spans="1:11" x14ac:dyDescent="0.2">
      <c r="A33" t="s">
        <v>39</v>
      </c>
    </row>
    <row r="34" spans="1:11" x14ac:dyDescent="0.2">
      <c r="A34">
        <v>33</v>
      </c>
      <c r="B34" t="s">
        <v>36</v>
      </c>
      <c r="C34" t="s">
        <v>40</v>
      </c>
      <c r="D34">
        <v>1506</v>
      </c>
      <c r="E34">
        <v>1479</v>
      </c>
      <c r="F34">
        <v>1597</v>
      </c>
      <c r="G34">
        <f>F34-21</f>
        <v>1576</v>
      </c>
      <c r="H34">
        <v>10</v>
      </c>
      <c r="I34">
        <v>84.65</v>
      </c>
      <c r="J34">
        <v>435.5</v>
      </c>
      <c r="K34">
        <f t="shared" si="4"/>
        <v>157.6</v>
      </c>
    </row>
    <row r="35" spans="1:11" x14ac:dyDescent="0.2">
      <c r="A35">
        <v>34</v>
      </c>
      <c r="B35" t="s">
        <v>36</v>
      </c>
      <c r="C35" t="s">
        <v>41</v>
      </c>
      <c r="D35">
        <v>1269</v>
      </c>
      <c r="E35">
        <v>1245</v>
      </c>
      <c r="F35">
        <v>1345</v>
      </c>
      <c r="G35">
        <f t="shared" ref="G35:G41" si="9">F35-21</f>
        <v>1324</v>
      </c>
      <c r="H35">
        <v>10</v>
      </c>
      <c r="I35">
        <v>86.9</v>
      </c>
      <c r="J35">
        <v>438.3</v>
      </c>
      <c r="K35">
        <f t="shared" si="4"/>
        <v>132.4</v>
      </c>
    </row>
    <row r="36" spans="1:11" x14ac:dyDescent="0.2">
      <c r="A36">
        <v>35</v>
      </c>
      <c r="B36" t="s">
        <v>36</v>
      </c>
      <c r="C36" t="s">
        <v>42</v>
      </c>
      <c r="D36">
        <v>1052</v>
      </c>
      <c r="E36">
        <v>1027</v>
      </c>
      <c r="F36">
        <v>1114</v>
      </c>
      <c r="G36">
        <f t="shared" si="9"/>
        <v>1093</v>
      </c>
      <c r="H36">
        <v>10</v>
      </c>
      <c r="I36">
        <v>87.75</v>
      </c>
      <c r="J36">
        <v>437.52</v>
      </c>
      <c r="K36">
        <f t="shared" si="4"/>
        <v>109.3</v>
      </c>
    </row>
    <row r="37" spans="1:11" x14ac:dyDescent="0.2">
      <c r="A37">
        <v>36</v>
      </c>
      <c r="B37" t="s">
        <v>36</v>
      </c>
      <c r="C37" t="s">
        <v>43</v>
      </c>
      <c r="D37">
        <v>900</v>
      </c>
      <c r="E37">
        <v>884</v>
      </c>
      <c r="F37">
        <v>954</v>
      </c>
      <c r="G37">
        <f t="shared" si="9"/>
        <v>933</v>
      </c>
      <c r="H37">
        <v>10</v>
      </c>
      <c r="I37">
        <v>95.59</v>
      </c>
      <c r="J37">
        <v>434.15</v>
      </c>
      <c r="K37">
        <f t="shared" si="4"/>
        <v>93.3</v>
      </c>
    </row>
    <row r="38" spans="1:11" x14ac:dyDescent="0.2">
      <c r="A38">
        <v>37</v>
      </c>
      <c r="B38" t="s">
        <v>36</v>
      </c>
      <c r="C38" t="s">
        <v>44</v>
      </c>
      <c r="D38">
        <v>795</v>
      </c>
      <c r="E38">
        <v>776</v>
      </c>
      <c r="F38">
        <v>844</v>
      </c>
      <c r="G38">
        <f t="shared" si="9"/>
        <v>823</v>
      </c>
      <c r="H38">
        <v>10</v>
      </c>
      <c r="I38">
        <v>86.37</v>
      </c>
      <c r="J38">
        <v>429.62</v>
      </c>
      <c r="K38">
        <f t="shared" si="4"/>
        <v>82.3</v>
      </c>
    </row>
    <row r="39" spans="1:11" x14ac:dyDescent="0.2">
      <c r="A39">
        <v>38</v>
      </c>
      <c r="B39" t="s">
        <v>36</v>
      </c>
      <c r="C39" t="s">
        <v>45</v>
      </c>
      <c r="D39">
        <v>620</v>
      </c>
      <c r="E39">
        <v>606</v>
      </c>
      <c r="F39">
        <v>658</v>
      </c>
      <c r="G39">
        <f t="shared" si="9"/>
        <v>637</v>
      </c>
      <c r="H39">
        <v>10</v>
      </c>
      <c r="I39">
        <v>92.74</v>
      </c>
      <c r="J39">
        <v>432.75</v>
      </c>
      <c r="K39">
        <f t="shared" si="4"/>
        <v>63.7</v>
      </c>
    </row>
    <row r="40" spans="1:11" x14ac:dyDescent="0.2">
      <c r="A40">
        <v>39</v>
      </c>
      <c r="B40" t="s">
        <v>36</v>
      </c>
      <c r="C40" t="s">
        <v>46</v>
      </c>
      <c r="D40">
        <v>602</v>
      </c>
      <c r="E40">
        <v>589</v>
      </c>
      <c r="F40">
        <v>639</v>
      </c>
      <c r="G40">
        <f t="shared" si="9"/>
        <v>618</v>
      </c>
      <c r="H40">
        <v>10</v>
      </c>
      <c r="I40">
        <v>90.79</v>
      </c>
      <c r="J40">
        <v>431.91</v>
      </c>
      <c r="K40">
        <f t="shared" si="4"/>
        <v>61.8</v>
      </c>
    </row>
    <row r="41" spans="1:11" x14ac:dyDescent="0.2">
      <c r="A41">
        <v>40</v>
      </c>
      <c r="B41" t="s">
        <v>36</v>
      </c>
      <c r="C41" t="s">
        <v>47</v>
      </c>
      <c r="D41">
        <v>387</v>
      </c>
      <c r="E41">
        <v>377</v>
      </c>
      <c r="F41">
        <v>411</v>
      </c>
      <c r="G41">
        <f t="shared" si="9"/>
        <v>390</v>
      </c>
      <c r="H41">
        <v>10</v>
      </c>
      <c r="I41">
        <v>115.5</v>
      </c>
      <c r="J41">
        <v>430.08</v>
      </c>
      <c r="K41">
        <f t="shared" si="4"/>
        <v>39</v>
      </c>
    </row>
    <row r="42" spans="1:11" x14ac:dyDescent="0.2">
      <c r="A42" t="s">
        <v>48</v>
      </c>
    </row>
    <row r="43" spans="1:11" x14ac:dyDescent="0.2">
      <c r="A43">
        <v>42</v>
      </c>
      <c r="B43" t="s">
        <v>49</v>
      </c>
      <c r="C43" t="s">
        <v>14</v>
      </c>
      <c r="D43">
        <v>277</v>
      </c>
      <c r="E43">
        <v>272</v>
      </c>
      <c r="F43">
        <v>295</v>
      </c>
      <c r="G43">
        <f>F43-26</f>
        <v>269</v>
      </c>
      <c r="H43">
        <v>50.8</v>
      </c>
      <c r="I43">
        <v>132.69999999999999</v>
      </c>
      <c r="J43">
        <v>414.51</v>
      </c>
      <c r="K43">
        <f t="shared" si="4"/>
        <v>5.2952755905511815</v>
      </c>
    </row>
    <row r="44" spans="1:11" x14ac:dyDescent="0.2">
      <c r="A44" t="s">
        <v>50</v>
      </c>
    </row>
    <row r="45" spans="1:11" x14ac:dyDescent="0.2">
      <c r="A45">
        <v>44</v>
      </c>
      <c r="B45" t="s">
        <v>49</v>
      </c>
      <c r="C45" t="s">
        <v>51</v>
      </c>
      <c r="D45">
        <v>6131</v>
      </c>
      <c r="E45">
        <v>6022</v>
      </c>
      <c r="F45">
        <v>6496</v>
      </c>
      <c r="G45">
        <f>F45-19</f>
        <v>6477</v>
      </c>
      <c r="H45">
        <v>1</v>
      </c>
      <c r="I45">
        <v>75.36</v>
      </c>
      <c r="J45">
        <v>439.49</v>
      </c>
      <c r="K45">
        <f>G45*10</f>
        <v>64770</v>
      </c>
    </row>
    <row r="46" spans="1:11" x14ac:dyDescent="0.2">
      <c r="A46" t="s">
        <v>52</v>
      </c>
    </row>
    <row r="47" spans="1:11" x14ac:dyDescent="0.2">
      <c r="A47">
        <v>46</v>
      </c>
      <c r="B47" t="s">
        <v>36</v>
      </c>
      <c r="C47" t="s">
        <v>53</v>
      </c>
      <c r="D47">
        <v>481</v>
      </c>
      <c r="E47">
        <v>469</v>
      </c>
      <c r="F47">
        <v>510</v>
      </c>
      <c r="G47">
        <f>F47-21</f>
        <v>489</v>
      </c>
      <c r="H47">
        <v>10</v>
      </c>
      <c r="I47">
        <v>86.46</v>
      </c>
      <c r="J47">
        <v>434.06</v>
      </c>
      <c r="K47">
        <f t="shared" si="4"/>
        <v>48.9</v>
      </c>
    </row>
    <row r="48" spans="1:11" x14ac:dyDescent="0.2">
      <c r="A48" t="s">
        <v>54</v>
      </c>
    </row>
    <row r="49" spans="1:11" x14ac:dyDescent="0.2">
      <c r="A49" t="s">
        <v>55</v>
      </c>
    </row>
    <row r="50" spans="1:11" x14ac:dyDescent="0.2">
      <c r="A50">
        <v>49</v>
      </c>
      <c r="C50" t="s">
        <v>56</v>
      </c>
      <c r="D50">
        <v>25</v>
      </c>
      <c r="E50">
        <v>23</v>
      </c>
      <c r="F50">
        <v>27</v>
      </c>
      <c r="G50" s="11">
        <v>10.1</v>
      </c>
      <c r="I50">
        <v>444.61</v>
      </c>
      <c r="J50">
        <v>286.45</v>
      </c>
    </row>
    <row r="51" spans="1:11" x14ac:dyDescent="0.2">
      <c r="A51">
        <v>50</v>
      </c>
      <c r="C51" t="s">
        <v>56</v>
      </c>
      <c r="D51">
        <v>21</v>
      </c>
      <c r="E51">
        <v>20</v>
      </c>
      <c r="F51">
        <v>23</v>
      </c>
      <c r="G51">
        <v>17.2</v>
      </c>
      <c r="I51">
        <v>584.24</v>
      </c>
      <c r="J51">
        <v>282.14</v>
      </c>
    </row>
    <row r="52" spans="1:11" x14ac:dyDescent="0.2">
      <c r="A52">
        <v>51</v>
      </c>
      <c r="C52" t="s">
        <v>56</v>
      </c>
      <c r="D52">
        <v>17</v>
      </c>
      <c r="E52">
        <v>16</v>
      </c>
      <c r="F52">
        <v>19</v>
      </c>
      <c r="G52">
        <v>23</v>
      </c>
      <c r="H52" s="3">
        <f>AVERAGE(F50:F52)</f>
        <v>23</v>
      </c>
      <c r="I52">
        <v>543.22</v>
      </c>
      <c r="J52">
        <v>241.99</v>
      </c>
    </row>
    <row r="53" spans="1:11" x14ac:dyDescent="0.2">
      <c r="A53">
        <v>52</v>
      </c>
      <c r="C53" t="s">
        <v>56</v>
      </c>
      <c r="D53">
        <v>20</v>
      </c>
      <c r="E53">
        <v>20</v>
      </c>
      <c r="F53">
        <v>23</v>
      </c>
      <c r="G53">
        <v>53.5</v>
      </c>
      <c r="I53">
        <v>511.78</v>
      </c>
      <c r="J53">
        <v>243.46</v>
      </c>
    </row>
    <row r="54" spans="1:11" x14ac:dyDescent="0.2">
      <c r="A54" t="s">
        <v>57</v>
      </c>
    </row>
    <row r="55" spans="1:11" x14ac:dyDescent="0.2">
      <c r="A55">
        <v>54</v>
      </c>
      <c r="B55" t="s">
        <v>36</v>
      </c>
      <c r="C55" t="s">
        <v>58</v>
      </c>
      <c r="D55">
        <v>365</v>
      </c>
      <c r="E55">
        <v>360</v>
      </c>
      <c r="F55">
        <v>399</v>
      </c>
      <c r="G55">
        <f>F55-23</f>
        <v>376</v>
      </c>
      <c r="H55">
        <v>43.8</v>
      </c>
      <c r="I55">
        <v>97.29</v>
      </c>
      <c r="J55">
        <v>290.48</v>
      </c>
      <c r="K55" s="3">
        <f t="shared" si="4"/>
        <v>8.5844748858447488</v>
      </c>
    </row>
    <row r="56" spans="1:11" x14ac:dyDescent="0.2">
      <c r="A56">
        <v>55</v>
      </c>
      <c r="B56" t="s">
        <v>21</v>
      </c>
      <c r="C56" t="s">
        <v>59</v>
      </c>
      <c r="D56">
        <v>112</v>
      </c>
      <c r="E56">
        <v>109</v>
      </c>
      <c r="F56">
        <v>121</v>
      </c>
      <c r="G56">
        <f>F56-23</f>
        <v>98</v>
      </c>
      <c r="H56">
        <v>18.100000000000001</v>
      </c>
      <c r="I56">
        <v>179.32</v>
      </c>
      <c r="J56">
        <v>323.19</v>
      </c>
      <c r="K56" s="3">
        <f t="shared" si="4"/>
        <v>5.4143646408839778</v>
      </c>
    </row>
    <row r="57" spans="1:11" x14ac:dyDescent="0.2">
      <c r="A57">
        <v>56</v>
      </c>
      <c r="B57" t="s">
        <v>23</v>
      </c>
      <c r="C57" t="s">
        <v>59</v>
      </c>
      <c r="D57">
        <v>117</v>
      </c>
      <c r="E57">
        <v>116</v>
      </c>
      <c r="F57">
        <v>126</v>
      </c>
      <c r="G57">
        <f t="shared" ref="G57:G63" si="10">F57-23</f>
        <v>103</v>
      </c>
      <c r="H57">
        <v>15.9</v>
      </c>
      <c r="I57">
        <v>170.09</v>
      </c>
      <c r="J57">
        <v>318.36</v>
      </c>
      <c r="K57" s="3">
        <f t="shared" si="4"/>
        <v>6.4779874213836477</v>
      </c>
    </row>
    <row r="58" spans="1:11" x14ac:dyDescent="0.2">
      <c r="A58">
        <v>57</v>
      </c>
      <c r="B58" t="s">
        <v>25</v>
      </c>
      <c r="C58" t="s">
        <v>59</v>
      </c>
      <c r="D58">
        <v>88</v>
      </c>
      <c r="E58">
        <v>86</v>
      </c>
      <c r="F58">
        <v>94</v>
      </c>
      <c r="G58">
        <f t="shared" si="10"/>
        <v>71</v>
      </c>
      <c r="H58">
        <v>11.5</v>
      </c>
      <c r="I58">
        <v>185.25</v>
      </c>
      <c r="J58">
        <v>328.56</v>
      </c>
      <c r="K58" s="3">
        <f t="shared" si="4"/>
        <v>6.1739130434782608</v>
      </c>
    </row>
    <row r="59" spans="1:11" x14ac:dyDescent="0.2">
      <c r="A59">
        <v>58</v>
      </c>
      <c r="B59" t="s">
        <v>27</v>
      </c>
      <c r="C59" t="s">
        <v>59</v>
      </c>
      <c r="D59">
        <v>119</v>
      </c>
      <c r="E59">
        <v>118</v>
      </c>
      <c r="F59">
        <v>128</v>
      </c>
      <c r="G59">
        <f t="shared" si="10"/>
        <v>105</v>
      </c>
      <c r="H59">
        <v>16.399999999999999</v>
      </c>
      <c r="I59">
        <v>177.72</v>
      </c>
      <c r="J59">
        <v>324.52</v>
      </c>
      <c r="K59" s="3">
        <f t="shared" si="4"/>
        <v>6.4024390243902447</v>
      </c>
    </row>
    <row r="60" spans="1:11" x14ac:dyDescent="0.2">
      <c r="A60">
        <v>59</v>
      </c>
      <c r="B60" t="s">
        <v>29</v>
      </c>
      <c r="C60" t="s">
        <v>59</v>
      </c>
      <c r="D60">
        <v>151</v>
      </c>
      <c r="E60">
        <v>147</v>
      </c>
      <c r="F60">
        <v>163</v>
      </c>
      <c r="G60">
        <f t="shared" si="10"/>
        <v>140</v>
      </c>
      <c r="H60">
        <v>19.7</v>
      </c>
      <c r="I60">
        <v>153.08000000000001</v>
      </c>
      <c r="J60">
        <v>319.07</v>
      </c>
      <c r="K60" s="3">
        <f t="shared" si="4"/>
        <v>7.1065989847715736</v>
      </c>
    </row>
    <row r="61" spans="1:11" x14ac:dyDescent="0.2">
      <c r="A61">
        <v>60</v>
      </c>
      <c r="B61" t="s">
        <v>30</v>
      </c>
      <c r="C61" t="s">
        <v>59</v>
      </c>
      <c r="D61">
        <v>153</v>
      </c>
      <c r="E61">
        <v>150</v>
      </c>
      <c r="F61">
        <v>165</v>
      </c>
      <c r="G61">
        <f t="shared" si="10"/>
        <v>142</v>
      </c>
      <c r="H61">
        <v>17.600000000000001</v>
      </c>
      <c r="I61">
        <v>160.1</v>
      </c>
      <c r="J61">
        <v>318.45</v>
      </c>
      <c r="K61" s="3">
        <f t="shared" si="4"/>
        <v>8.0681818181818183</v>
      </c>
    </row>
    <row r="62" spans="1:11" x14ac:dyDescent="0.2">
      <c r="A62">
        <v>61</v>
      </c>
      <c r="B62" t="s">
        <v>31</v>
      </c>
      <c r="C62" t="s">
        <v>59</v>
      </c>
      <c r="D62">
        <v>144</v>
      </c>
      <c r="E62">
        <v>143</v>
      </c>
      <c r="F62">
        <v>156</v>
      </c>
      <c r="G62">
        <f t="shared" si="10"/>
        <v>133</v>
      </c>
      <c r="H62">
        <v>15.5</v>
      </c>
      <c r="I62">
        <v>152.57</v>
      </c>
      <c r="J62">
        <v>322.32</v>
      </c>
      <c r="K62" s="3">
        <f t="shared" si="4"/>
        <v>8.5806451612903221</v>
      </c>
    </row>
    <row r="63" spans="1:11" x14ac:dyDescent="0.2">
      <c r="A63">
        <v>62</v>
      </c>
      <c r="B63" t="s">
        <v>32</v>
      </c>
      <c r="C63" t="s">
        <v>59</v>
      </c>
      <c r="D63">
        <v>141</v>
      </c>
      <c r="E63">
        <v>138</v>
      </c>
      <c r="F63">
        <v>152</v>
      </c>
      <c r="G63">
        <f t="shared" si="10"/>
        <v>129</v>
      </c>
      <c r="H63">
        <v>15.3</v>
      </c>
      <c r="I63">
        <v>170.85</v>
      </c>
      <c r="J63">
        <v>322.70999999999998</v>
      </c>
      <c r="K63" s="3">
        <f t="shared" si="4"/>
        <v>8.4313725490196081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Control sucrose ip</vt:lpstr>
      <vt:lpstr>Control ip 2</vt:lpstr>
      <vt:lpstr>Chronic low dose para ip 1</vt:lpstr>
      <vt:lpstr>Chronic low dose para ip 2</vt:lpstr>
      <vt:lpstr>Chronic high dose para ip 1</vt:lpstr>
      <vt:lpstr>Chronic high dose para ip 2</vt:lpstr>
      <vt:lpstr>Chronic high dose para ip 3</vt:lpstr>
      <vt:lpstr>Calculations fetus to mum</vt:lpstr>
      <vt:lpstr>Control iv </vt:lpstr>
      <vt:lpstr>Acute para iv</vt:lpstr>
      <vt:lpstr>Chronic para iv</vt:lpstr>
      <vt:lpstr>Calculations mum to fetus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Yifan Huang</dc:creator>
  <cp:lastModifiedBy>Mark Habgood</cp:lastModifiedBy>
  <dcterms:created xsi:type="dcterms:W3CDTF">2020-05-14T05:14:18Z</dcterms:created>
  <dcterms:modified xsi:type="dcterms:W3CDTF">2020-05-16T13:57:40Z</dcterms:modified>
</cp:coreProperties>
</file>